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47118565Y\Desktop\"/>
    </mc:Choice>
  </mc:AlternateContent>
  <bookViews>
    <workbookView xWindow="0" yWindow="0" windowWidth="18390" windowHeight="5055"/>
  </bookViews>
  <sheets>
    <sheet name="GENERAL" sheetId="1" r:id="rId1"/>
    <sheet name="RESUM" sheetId="2" r:id="rId2"/>
  </sheets>
  <definedNames>
    <definedName name="_xlnm.Print_Area" localSheetId="0">GENERAL!$A$1:$L$345</definedName>
    <definedName name="_xlnm.Print_Titles" localSheetId="0">GENERAL!$1:$5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41" i="1" l="1"/>
  <c r="J337" i="1"/>
  <c r="J335" i="1"/>
  <c r="J333" i="1"/>
  <c r="J331" i="1"/>
  <c r="J329" i="1"/>
  <c r="J327" i="1"/>
  <c r="J319" i="1"/>
  <c r="J315" i="1"/>
  <c r="J313" i="1"/>
  <c r="J311" i="1"/>
  <c r="J309" i="1"/>
  <c r="J307" i="1"/>
  <c r="J305" i="1"/>
  <c r="J303" i="1"/>
  <c r="J301" i="1"/>
  <c r="J299" i="1"/>
  <c r="J297" i="1"/>
  <c r="J295" i="1"/>
  <c r="J285" i="1"/>
  <c r="J276" i="1"/>
  <c r="J269" i="1"/>
  <c r="J267" i="1"/>
  <c r="J265" i="1"/>
  <c r="J263" i="1"/>
  <c r="J261" i="1"/>
  <c r="J251" i="1"/>
  <c r="J249" i="1"/>
  <c r="J242" i="1"/>
  <c r="J230" i="1"/>
  <c r="L196" i="1"/>
  <c r="J206" i="1"/>
  <c r="J196" i="1"/>
  <c r="J192" i="1"/>
  <c r="J187" i="1"/>
  <c r="J182" i="1"/>
  <c r="J171" i="1"/>
  <c r="J169" i="1"/>
  <c r="J162" i="1"/>
  <c r="J153" i="1"/>
  <c r="J147" i="1"/>
  <c r="J140" i="1"/>
  <c r="J132" i="1"/>
  <c r="J128" i="1"/>
  <c r="J119" i="1"/>
  <c r="J113" i="1"/>
  <c r="J111" i="1"/>
  <c r="J105" i="1"/>
  <c r="J94" i="1"/>
  <c r="J84" i="1"/>
  <c r="J77" i="1"/>
  <c r="J96" i="1"/>
  <c r="J92" i="1"/>
  <c r="J90" i="1"/>
  <c r="J88" i="1"/>
  <c r="J86" i="1"/>
  <c r="J82" i="1"/>
  <c r="J75" i="1"/>
  <c r="J73" i="1"/>
  <c r="J68" i="1"/>
  <c r="J63" i="1"/>
  <c r="J61" i="1"/>
  <c r="J56" i="1"/>
  <c r="J52" i="1"/>
  <c r="J48" i="1"/>
  <c r="J41" i="1"/>
  <c r="J34" i="1"/>
  <c r="J27" i="1"/>
  <c r="J22" i="1"/>
  <c r="J17" i="1"/>
  <c r="J13" i="1"/>
  <c r="J8" i="1"/>
  <c r="I177" i="1" l="1"/>
  <c r="I176" i="1"/>
  <c r="I175" i="1"/>
  <c r="I174" i="1"/>
  <c r="K27" i="1"/>
  <c r="B182" i="1" l="1"/>
  <c r="B187" i="1" s="1"/>
  <c r="K315" i="1" l="1"/>
  <c r="L315" i="1" s="1"/>
  <c r="K313" i="1"/>
  <c r="L313" i="1" s="1"/>
  <c r="K311" i="1"/>
  <c r="L311" i="1" s="1"/>
  <c r="K309" i="1"/>
  <c r="L309" i="1" s="1"/>
  <c r="K307" i="1"/>
  <c r="L307" i="1" s="1"/>
  <c r="K305" i="1"/>
  <c r="L305" i="1" s="1"/>
  <c r="K303" i="1"/>
  <c r="L303" i="1" s="1"/>
  <c r="K301" i="1"/>
  <c r="L301" i="1" s="1"/>
  <c r="K299" i="1"/>
  <c r="A315" i="1"/>
  <c r="A313" i="1"/>
  <c r="A311" i="1"/>
  <c r="A309" i="1"/>
  <c r="A307" i="1"/>
  <c r="A305" i="1"/>
  <c r="A303" i="1"/>
  <c r="A301" i="1"/>
  <c r="K297" i="1"/>
  <c r="K295" i="1"/>
  <c r="L299" i="1" l="1"/>
  <c r="A299" i="1"/>
  <c r="I339" i="1" l="1"/>
  <c r="K337" i="1" s="1"/>
  <c r="I344" i="1"/>
  <c r="K341" i="1" s="1"/>
  <c r="L341" i="1" s="1"/>
  <c r="C13" i="2"/>
  <c r="B13" i="2"/>
  <c r="K319" i="1"/>
  <c r="I290" i="1"/>
  <c r="I289" i="1"/>
  <c r="I283" i="1"/>
  <c r="I282" i="1"/>
  <c r="I274" i="1"/>
  <c r="I273" i="1"/>
  <c r="I281" i="1"/>
  <c r="I280" i="1"/>
  <c r="I288" i="1"/>
  <c r="I287" i="1"/>
  <c r="I279" i="1"/>
  <c r="I278" i="1"/>
  <c r="I272" i="1"/>
  <c r="I271" i="1"/>
  <c r="K251" i="1"/>
  <c r="K285" i="1" l="1"/>
  <c r="L285" i="1" s="1"/>
  <c r="K269" i="1"/>
  <c r="L269" i="1" s="1"/>
  <c r="K276" i="1"/>
  <c r="L276" i="1" s="1"/>
  <c r="K249" i="1"/>
  <c r="L249" i="1" s="1"/>
  <c r="I247" i="1"/>
  <c r="I245" i="1"/>
  <c r="I240" i="1"/>
  <c r="I238" i="1"/>
  <c r="I237" i="1"/>
  <c r="I236" i="1"/>
  <c r="I235" i="1"/>
  <c r="I234" i="1"/>
  <c r="I233" i="1"/>
  <c r="I232" i="1"/>
  <c r="I226" i="1"/>
  <c r="I225" i="1"/>
  <c r="I224" i="1"/>
  <c r="I223" i="1"/>
  <c r="I222" i="1"/>
  <c r="I221" i="1"/>
  <c r="I220" i="1"/>
  <c r="I219" i="1"/>
  <c r="I218" i="1"/>
  <c r="I217" i="1"/>
  <c r="I216" i="1"/>
  <c r="I215" i="1"/>
  <c r="I214" i="1"/>
  <c r="I213" i="1"/>
  <c r="I212" i="1"/>
  <c r="I211" i="1"/>
  <c r="I210" i="1"/>
  <c r="I209" i="1"/>
  <c r="I208" i="1"/>
  <c r="I204" i="1"/>
  <c r="I203" i="1"/>
  <c r="I202" i="1"/>
  <c r="I201" i="1"/>
  <c r="I199" i="1"/>
  <c r="I198" i="1"/>
  <c r="F200" i="1"/>
  <c r="I200" i="1" s="1"/>
  <c r="I194" i="1"/>
  <c r="K192" i="1" s="1"/>
  <c r="L192" i="1" s="1"/>
  <c r="A187" i="1"/>
  <c r="L187" i="1"/>
  <c r="I184" i="1"/>
  <c r="K182" i="1" s="1"/>
  <c r="L182" i="1" s="1"/>
  <c r="A117" i="1"/>
  <c r="K169" i="1"/>
  <c r="L169" i="1" s="1"/>
  <c r="I160" i="1"/>
  <c r="I159" i="1"/>
  <c r="I158" i="1"/>
  <c r="I157" i="1"/>
  <c r="I156" i="1"/>
  <c r="I155" i="1"/>
  <c r="I167" i="1"/>
  <c r="I166" i="1"/>
  <c r="I165" i="1"/>
  <c r="I164" i="1"/>
  <c r="A153" i="1"/>
  <c r="I145" i="1"/>
  <c r="I144" i="1"/>
  <c r="I143" i="1"/>
  <c r="I142" i="1"/>
  <c r="I138" i="1"/>
  <c r="I137" i="1"/>
  <c r="I136" i="1"/>
  <c r="I135" i="1"/>
  <c r="I134" i="1"/>
  <c r="L251" i="1"/>
  <c r="A251" i="1"/>
  <c r="A249" i="1"/>
  <c r="I130" i="1"/>
  <c r="K128" i="1" s="1"/>
  <c r="L128" i="1" s="1"/>
  <c r="I126" i="1"/>
  <c r="I125" i="1"/>
  <c r="I124" i="1"/>
  <c r="I123" i="1"/>
  <c r="I150" i="1"/>
  <c r="I149" i="1"/>
  <c r="I122" i="1"/>
  <c r="I121" i="1"/>
  <c r="A206" i="1"/>
  <c r="L171" i="1"/>
  <c r="A171" i="1"/>
  <c r="A169" i="1"/>
  <c r="A162" i="1"/>
  <c r="C7" i="2"/>
  <c r="B7" i="2"/>
  <c r="A147" i="1"/>
  <c r="A140" i="1"/>
  <c r="A132" i="1"/>
  <c r="A128" i="1"/>
  <c r="A119" i="1"/>
  <c r="B119" i="1"/>
  <c r="B128" i="1" s="1"/>
  <c r="B132" i="1" s="1"/>
  <c r="B140" i="1" s="1"/>
  <c r="B147" i="1" s="1"/>
  <c r="K105" i="1"/>
  <c r="L105" i="1" s="1"/>
  <c r="K77" i="1"/>
  <c r="L77" i="1" s="1"/>
  <c r="I71" i="1"/>
  <c r="I70" i="1"/>
  <c r="K63" i="1"/>
  <c r="L63" i="1" s="1"/>
  <c r="K56" i="1"/>
  <c r="L56" i="1" s="1"/>
  <c r="A56" i="1"/>
  <c r="L333" i="1"/>
  <c r="A333" i="1"/>
  <c r="L331" i="1"/>
  <c r="A331" i="1"/>
  <c r="L329" i="1"/>
  <c r="A329" i="1"/>
  <c r="A341" i="1"/>
  <c r="L337" i="1"/>
  <c r="A337" i="1"/>
  <c r="L335" i="1"/>
  <c r="A335" i="1"/>
  <c r="A327" i="1"/>
  <c r="A319" i="1"/>
  <c r="L327" i="1"/>
  <c r="L319" i="1"/>
  <c r="B319" i="1"/>
  <c r="B327" i="1" s="1"/>
  <c r="B329" i="1" s="1"/>
  <c r="I54" i="1"/>
  <c r="K52" i="1" s="1"/>
  <c r="L52" i="1" s="1"/>
  <c r="I50" i="1"/>
  <c r="K48" i="1" s="1"/>
  <c r="L48" i="1" s="1"/>
  <c r="A52" i="1"/>
  <c r="A48" i="1"/>
  <c r="I46" i="1"/>
  <c r="I45" i="1"/>
  <c r="I44" i="1"/>
  <c r="I43" i="1"/>
  <c r="I36" i="1"/>
  <c r="K34" i="1" s="1"/>
  <c r="L34" i="1" s="1"/>
  <c r="L27" i="1"/>
  <c r="K22" i="1"/>
  <c r="L22" i="1" s="1"/>
  <c r="K17" i="1"/>
  <c r="L17" i="1" s="1"/>
  <c r="K13" i="1"/>
  <c r="L13" i="1" s="1"/>
  <c r="L297" i="1"/>
  <c r="L295" i="1"/>
  <c r="L267" i="1"/>
  <c r="L265" i="1"/>
  <c r="L263" i="1"/>
  <c r="L261" i="1"/>
  <c r="L113" i="1"/>
  <c r="L111" i="1"/>
  <c r="L96" i="1"/>
  <c r="L75" i="1"/>
  <c r="L73" i="1"/>
  <c r="L61" i="1"/>
  <c r="L94" i="1"/>
  <c r="L92" i="1"/>
  <c r="L90" i="1"/>
  <c r="L88" i="1"/>
  <c r="L86" i="1"/>
  <c r="L84" i="1"/>
  <c r="L82" i="1"/>
  <c r="K8" i="1"/>
  <c r="L8" i="1" s="1"/>
  <c r="A22" i="1"/>
  <c r="A285" i="1"/>
  <c r="A276" i="1"/>
  <c r="A269" i="1"/>
  <c r="A267" i="1"/>
  <c r="A265" i="1"/>
  <c r="A113" i="1"/>
  <c r="A111" i="1"/>
  <c r="L293" i="1" l="1"/>
  <c r="B331" i="1"/>
  <c r="B333" i="1" s="1"/>
  <c r="B335" i="1" s="1"/>
  <c r="L317" i="1"/>
  <c r="K242" i="1"/>
  <c r="L242" i="1" s="1"/>
  <c r="K230" i="1"/>
  <c r="L230" i="1" s="1"/>
  <c r="K196" i="1"/>
  <c r="K206" i="1"/>
  <c r="L206" i="1" s="1"/>
  <c r="K162" i="1"/>
  <c r="L162" i="1" s="1"/>
  <c r="K147" i="1"/>
  <c r="L147" i="1" s="1"/>
  <c r="K153" i="1"/>
  <c r="L153" i="1" s="1"/>
  <c r="B153" i="1"/>
  <c r="B162" i="1" s="1"/>
  <c r="B169" i="1" s="1"/>
  <c r="B171" i="1" s="1"/>
  <c r="K140" i="1"/>
  <c r="L140" i="1" s="1"/>
  <c r="K119" i="1"/>
  <c r="L119" i="1" s="1"/>
  <c r="K132" i="1"/>
  <c r="L132" i="1" s="1"/>
  <c r="K68" i="1"/>
  <c r="L68" i="1" s="1"/>
  <c r="K41" i="1"/>
  <c r="L41" i="1" s="1"/>
  <c r="L180" i="1"/>
  <c r="L103" i="1"/>
  <c r="D13" i="2" l="1"/>
  <c r="B337" i="1"/>
  <c r="B341" i="1" s="1"/>
  <c r="L228" i="1"/>
  <c r="A96" i="1"/>
  <c r="A77" i="1"/>
  <c r="A75" i="1"/>
  <c r="A73" i="1"/>
  <c r="A68" i="1"/>
  <c r="A63" i="1"/>
  <c r="A61" i="1"/>
  <c r="A94" i="1"/>
  <c r="A92" i="1"/>
  <c r="A90" i="1"/>
  <c r="A88" i="1"/>
  <c r="A86" i="1"/>
  <c r="A84" i="1"/>
  <c r="A82" i="1"/>
  <c r="A41" i="1"/>
  <c r="A34" i="1"/>
  <c r="A27" i="1"/>
  <c r="C12" i="2"/>
  <c r="C11" i="2"/>
  <c r="C10" i="2"/>
  <c r="C9" i="2"/>
  <c r="C8" i="2"/>
  <c r="C6" i="2"/>
  <c r="B12" i="2"/>
  <c r="B11" i="2"/>
  <c r="B10" i="2"/>
  <c r="B9" i="2"/>
  <c r="B8" i="2"/>
  <c r="B6" i="2"/>
  <c r="C5" i="2"/>
  <c r="B5" i="2"/>
  <c r="B3" i="2"/>
  <c r="B2" i="2"/>
  <c r="A13" i="1"/>
  <c r="A297" i="1"/>
  <c r="A295" i="1"/>
  <c r="B295" i="1"/>
  <c r="B297" i="1" s="1"/>
  <c r="B299" i="1" s="1"/>
  <c r="B301" i="1" s="1"/>
  <c r="B303" i="1" s="1"/>
  <c r="B305" i="1" s="1"/>
  <c r="B307" i="1" s="1"/>
  <c r="B309" i="1" s="1"/>
  <c r="B311" i="1" s="1"/>
  <c r="B313" i="1" s="1"/>
  <c r="B315" i="1" s="1"/>
  <c r="A263" i="1"/>
  <c r="A261" i="1"/>
  <c r="B261" i="1"/>
  <c r="B263" i="1" s="1"/>
  <c r="B265" i="1" s="1"/>
  <c r="B267" i="1" s="1"/>
  <c r="B269" i="1" s="1"/>
  <c r="B276" i="1" s="1"/>
  <c r="B285" i="1" s="1"/>
  <c r="A242" i="1"/>
  <c r="A230" i="1"/>
  <c r="B230" i="1"/>
  <c r="B242" i="1" s="1"/>
  <c r="B249" i="1" s="1"/>
  <c r="B251" i="1" s="1"/>
  <c r="A196" i="1"/>
  <c r="A192" i="1"/>
  <c r="B192" i="1"/>
  <c r="B196" i="1" s="1"/>
  <c r="B206" i="1" s="1"/>
  <c r="A182" i="1"/>
  <c r="A105" i="1"/>
  <c r="B105" i="1"/>
  <c r="A17" i="1"/>
  <c r="A8" i="1"/>
  <c r="B8" i="1"/>
  <c r="B13" i="1" s="1"/>
  <c r="B17" i="1" s="1"/>
  <c r="B22" i="1" s="1"/>
  <c r="D7" i="2" l="1"/>
  <c r="B111" i="1"/>
  <c r="B113" i="1" s="1"/>
  <c r="B27" i="1"/>
  <c r="B34" i="1" l="1"/>
  <c r="B41" i="1" s="1"/>
  <c r="B48" i="1" l="1"/>
  <c r="B52" i="1" s="1"/>
  <c r="B56" i="1" l="1"/>
  <c r="B61" i="1" s="1"/>
  <c r="B63" i="1" l="1"/>
  <c r="B68" i="1" s="1"/>
  <c r="B73" i="1" s="1"/>
  <c r="B75" i="1" s="1"/>
  <c r="B77" i="1" s="1"/>
  <c r="B82" i="1" l="1"/>
  <c r="B84" i="1" s="1"/>
  <c r="B86" i="1" s="1"/>
  <c r="B88" i="1" s="1"/>
  <c r="B90" i="1" s="1"/>
  <c r="B92" i="1" s="1"/>
  <c r="B94" i="1" s="1"/>
  <c r="B96" i="1" s="1"/>
  <c r="D5" i="2" l="1"/>
  <c r="D6" i="2"/>
  <c r="D8" i="2"/>
  <c r="D9" i="2"/>
  <c r="D10" i="2"/>
  <c r="D11" i="2"/>
  <c r="D12" i="2"/>
  <c r="D15" i="2" l="1"/>
</calcChain>
</file>

<file path=xl/sharedStrings.xml><?xml version="1.0" encoding="utf-8"?>
<sst xmlns="http://schemas.openxmlformats.org/spreadsheetml/2006/main" count="344" uniqueCount="206">
  <si>
    <t>ARCBCN - Enginyers Consultors</t>
  </si>
  <si>
    <t xml:space="preserve"> Cap</t>
  </si>
  <si>
    <t>P.</t>
  </si>
  <si>
    <t>Codi</t>
  </si>
  <si>
    <t>ut</t>
  </si>
  <si>
    <t>Descripció</t>
  </si>
  <si>
    <t>Preu</t>
  </si>
  <si>
    <t>Amidament</t>
  </si>
  <si>
    <t xml:space="preserve">TOTAL </t>
  </si>
  <si>
    <t>ENDERROCS i TREBALLS PREVIS.</t>
  </si>
  <si>
    <t>ESTRUCTURA</t>
  </si>
  <si>
    <t>PA</t>
  </si>
  <si>
    <t>ACABATS INTERIORS PAVIMENTS</t>
  </si>
  <si>
    <t>ACABATS INTERIORS SOSTRES</t>
  </si>
  <si>
    <t>FUSTERIES</t>
  </si>
  <si>
    <t>EQUIPAMENT</t>
  </si>
  <si>
    <t xml:space="preserve">PROJECTE EXECUTIU D'OBRA I INSTAL·LACIONS DE LA REFORMA DE LA INSTAL·LACIÓ DE PRODUCCIÓ DE FRED I CALOR. </t>
  </si>
  <si>
    <t>VALL D'HEBRON - Barcelona Campus Hospitalari</t>
  </si>
  <si>
    <t>TOTAL PEM</t>
  </si>
  <si>
    <t>R - ENDERROC DE FALS SOSTRE REGISTRABLE PLACA VINILICA 60X60 AMB GUIA VISTA. Demolició de fals sostre enregistrable de plaques de guix laminat, situat a una altura menor de 4 m, amb mitjans manuals, sense deteriorar els elements constructius als quals se subjecta, i càrrega manual sobre camió o contenidor. El preu inclou la demolició de l'estructura metàl·lica de subjecció, de les falses bigues i dels acabats</t>
  </si>
  <si>
    <t xml:space="preserve">DRT030
</t>
  </si>
  <si>
    <t>NOVA ZONA OFICINES</t>
  </si>
  <si>
    <t>ZONA NOUS ESTABLES I SALA FORMACIÓ</t>
  </si>
  <si>
    <t>C-ENDERROC DE FALS SOSTRE CONTÍNU. ACABAT PINTAT. Demolició de fals sostre continu de plaques de guix o d'escaiola, situat a una altura menor de 4 m, amb mitjans manuals, sense deteriorar els elements constructius contigus, i càrrega manual sobre camió o contenidor. El preu inclou la demolició de l'estructura metàl·lica de subjecció, de les falses bigues i dels acabats.</t>
  </si>
  <si>
    <t xml:space="preserve">DRT020
</t>
  </si>
  <si>
    <t>V-ENDERROC DE FALS SOSTRE CONTÍNU. ACABAT VINIL Demolició de fals sostre continu de plaques de guix o d'escaiola, situat a una altura menor de 4 m, amb mitjans manuals, sense deteriorar els elements constructius contigus, i càrrega manual sobre camió o contenidor. El preu inclou la demolició de l'estructura metàl·lica de subjecció, de les falses bigues i dels acabats.</t>
  </si>
  <si>
    <t>P-ENDERROC DE FALS SOSTRE REGISTRABLE  VINÍLIC AMB GUIA OCULTA. O BÉ CONTÍNUU AMB REGISTRES INTEGRATS. Demolició de fals sostre enregistrable de plaques de guix laminat, situat a una altura menor de 4 m, amb mitjans manuals, sense deteriorar els elements constructius als quals se subjecta, i càrrega manual sobre camió o contenidor. El preu inclou la demolició de l'estructura metàl·lica de subjecció, de les falses bigues i dels acabats</t>
  </si>
  <si>
    <t xml:space="preserve">DRS060
</t>
  </si>
  <si>
    <t>M2</t>
  </si>
  <si>
    <t>V - ARRENCADA DE VINIL DE TERRES. Aixecat de paviment DE VINIL i PVC existent a l'interior de l'edifici, amb mitjans manuals, sense deteriorar els elements constructius contigus, i càrrega manual sobre camió o contenidor. El preu no inclou la demolició de la base suport. INC. SÒCOLS I MITGES CANYES.</t>
  </si>
  <si>
    <t>SANEJAT SOTA VINIL EXISTENT I DESBASTAT NETEJA PINTURA EPOXI SOBRE LLOSA DE FORMIGÓ. Polit  mecànic en obra de LLOSA DE FORMIGÓ SOTA VINIL I ARRENCADA DE PINTURA EPOXI, Preparació de sòl de formigó mitjançant desbastat mecànic amb disc de diamant, obtenint una rugositat inferior a 2 mm, eliminant beurades superficials o pintures deteriorades, i incrementant la porositat superficial del formigó, per a procedir posteriorment a l'aplicació d'un revestiment (no inclòs en aquest preu). Inclús neteja i recollida de la pols i les restes generades mitjançant aspirat mecànic, aplec, retirada i càrrega sobre camió o contenidor.</t>
  </si>
  <si>
    <t>RSK050</t>
  </si>
  <si>
    <t>ANTIC MAGATZEM -F-</t>
  </si>
  <si>
    <t>NOVA ZONA OFICINES -V-</t>
  </si>
  <si>
    <t>ZONA NOUS ESTABLES I SALA FORMACIÓ VINIL -V-</t>
  </si>
  <si>
    <t>REPICAT DE LLOSA ESTRUCTURAL PER PAS DE CONDUCTES DE SANEJAMENT. Demolició de llosa massissa de formigó armat de fins a 20 cm de cantell total, amb mitjans manuals, martell pneumàtic i equip de oxitall, previ aixecat del paviment i la seva base, i càrrega manual sobre camió o contenidor. El preu no inclou l'aixecat del paviment.</t>
  </si>
  <si>
    <t xml:space="preserve">DEH020
</t>
  </si>
  <si>
    <t>RASES EN LLOSA PER SANEJAMENT ESTABLES</t>
  </si>
  <si>
    <t>L</t>
  </si>
  <si>
    <t>Ample</t>
  </si>
  <si>
    <t>TALL ASFALT CARRER POSTERIOR I DEMOLICIÓ PAVIMENT ASFÀLTIC. Demolició de paviment d'aglomerat asfàltic en calçada, amb martell pneumàtic, i càrrega manual sobre camió o contenidor. El preu inclou el tall previ del contorn del paviment, però no inclou la demolició de la base suport.</t>
  </si>
  <si>
    <t>DMX030</t>
  </si>
  <si>
    <t xml:space="preserve">ACE041
</t>
  </si>
  <si>
    <t>m3</t>
  </si>
  <si>
    <t>fons</t>
  </si>
  <si>
    <t xml:space="preserve">OBERTURA DE RASA PER SANEJAMENT CARRER POSTERIOR. Excavació de rases en terra tova, de fins a 1,25 m de profunditat màxima, amb mitjans manuals, i carga manual a camió. El preu no inclou el transport dels materials excavats. LA TERRA ES MANTÉ EN OBRA. </t>
  </si>
  <si>
    <t>SANEJAMENT I AJUDES</t>
  </si>
  <si>
    <t xml:space="preserve">DRD010
</t>
  </si>
  <si>
    <t>ZONA ESTABLES SPF</t>
  </si>
  <si>
    <t>ZONA ESTABLES CONVENCIONALS</t>
  </si>
  <si>
    <t>DPT010</t>
  </si>
  <si>
    <t xml:space="preserve">DPS010
</t>
  </si>
  <si>
    <t>ZONA ESTABLES CONVENCIONALS I SALA FORMACIÓ</t>
  </si>
  <si>
    <t>E02 - ENDERROC D'ENVÀ DE TOTXANA. Demolició de partició interior de fàbrica vista, formada per maó calat de 11/12 cm d'espessor, amb mitjans manuals, sense afectar a l'estabilitat dels elements constructius contigus, i càrrega manual sobre camió o contenidor. El preu inclou el desmuntatge previ de les fulles de la fusteria.</t>
  </si>
  <si>
    <t>ARRENCADA DE VINIL DE DIFERENTS TIPUS EN PARETS. Aixecat de revestiment sintètic en paraments interiors, amb mitjans manuals, AMB POSSIBILITAT DE  deteriorar la superfície suport, que quedarà al descobert i preparada per al seu ENDERROC POSTERIOR, i càrrega manual sobre camió o contenidor.</t>
  </si>
  <si>
    <t xml:space="preserve">E01 - ENDERROC D'ENVÀ DE CARTRÓ GUIX. AMB DOBLE PLACA 15mm I 46mm LLANA DE ROCA. Demolició d'envà de plaques de guix laminat (dues plaques per cara) instal·lades sobre una estructura simple, amb mitjans manuals, sense afectar a l'estabilitat dels elements constructius contigus, i càrrega manual sobre camió o contenidor. El preu inclou el desmuntatge previ de les fulles de la fusteria.TAMBÉ INCLOU LA RETIRADA DE L'AÏLLAMENT TÈRMIC ACÚSTIC INTERIOR DELS ENVANS. </t>
  </si>
  <si>
    <t>ENDERROC DE MUR DE GERO DE 15CM DE GRUIX. Demolició de mur de fàbrica de maó ceràmic calat, amb mitjans manuals, i càrrega manual sobre camió o contenidor.</t>
  </si>
  <si>
    <t xml:space="preserve">DEF040
</t>
  </si>
  <si>
    <t>M3</t>
  </si>
  <si>
    <t xml:space="preserve">ZONA MAGATZEM </t>
  </si>
  <si>
    <t>NOVA PORTA SORTIDA DES D'ESTABLES</t>
  </si>
  <si>
    <t>ENDERROC DE FAÇANA VENTILADA DE XAPA METÀL·LICA. Desmuntatge de tancament de façana simple format per panell de xapa d'acer, mantenint les estructures auxiliars, amb mitjans manuals, sense deteriorar els elements als quals està subjecte, i càrrega manual sobre camió o contenidor. INCLOU RETIRADA D'AÏLLAMENT TÈRMIC I SUBESTRUCTURA DE SUPORT. INCLOU TAMBÉ EL TALL PREVI A LA XAPA.</t>
  </si>
  <si>
    <t>DFL010</t>
  </si>
  <si>
    <t xml:space="preserve">ENDERROC D'ENVÀ DE MAÓ SIMPLE - OBERTURA PORTA. Obertura de buit per a posterior col·locació de la fusteria, en partició interior de fàbrica revestida, formada per maó foradat senzill de 4/5 cm d'espessor, amb mitjans manuals, sense afectar a l'estabilitat de la partició o dels elements constructius contigus, i càrrega manual sobre camió o contenidor. El preu inclou el tall previ del contorn del forat, però no inclou el muntatge i desmuntatge de l'estintolament del buit ni la col·locació de llindes.
</t>
  </si>
  <si>
    <t>DPT021</t>
  </si>
  <si>
    <t xml:space="preserve">DFL020
</t>
  </si>
  <si>
    <t>ENDERROC DE TANCAMENTS DE PANELL SADWICH (VERTICALS I HORITZONTALS) FORMANT CAMBRA FREDA. Desmuntatge de tancament  format per panells sandvitx aïllants de xapa d'acer, mantenint les estructures auxiliars, amb mitjans manuals, sense deteriorar els elements als quals està subjecte, i càrrega manual sobre camió o contenidor.</t>
  </si>
  <si>
    <t>PARETS</t>
  </si>
  <si>
    <t>SOSTRE</t>
  </si>
  <si>
    <t>DESMUNTATGE DE PORTA P1a - PORTA DE DM XAPADA AMB HPL I MARC D'ACER PINTAT. Aixecat de porta interior de DM XAPADA AMB HPL, amb mitjans manuals, sense deteriorar el parament al que està subjecta, i càrrega manual sobre camió o contenidor. El preu inclou l'aixecat de les fulles, dels marcs D'ACER, dels tapajunts i de les ferramentes.</t>
  </si>
  <si>
    <t>DESMUNTATGE DE PORTA P1b - PORTA DE DM XAPADA AMB HPL I MARC D'ACER PINTAT AMB VISOR DE VIDRE LAMINAT.Aixecat de porta interior de DM XAPADA AMB HPL, amb mitjans manuals, sense deteriorar el parament al que està subjecta, i càrrega manual sobre camió o contenidor. El preu inclou l'aixecat de les fulles, dels marcs D'ACER, dels tapajunts i de les ferramentes.</t>
  </si>
  <si>
    <t xml:space="preserve">DLP210
</t>
  </si>
  <si>
    <t>DESMUNTATGE DE PORTA DOBLE P1c - PORTA DE DM XAPADA AMB HPL I MARC D'ACER PINTAT AMB VISOR DE VIDRE LAMINAT. Aixecat de porta interior de DM XAPADA AMB HPL, amb mitjans manuals, sense deteriorar el parament al que està subjecta, i càrrega manual sobre camió o contenidor. El preu inclou l'aixecat de les fulles, dels marcs D'ACER, dels tapajunts i de les ferramentes.</t>
  </si>
  <si>
    <t>UT</t>
  </si>
  <si>
    <t>DESMUNTATGE DE PORTA P2a - PORTA DE DM HIDRÒFUG I ESTRUCTRUA INTERIOR DE PI. AMB ACABAT APLACAT D'HPL.Aixecat de porta interior de DM XAPADA AMB HPL, amb mitjans manuals, sense deteriorar el parament al que està subjecta, i càrrega manual sobre camió o contenidor. El preu inclou l'aixecat de les fulles, dels marcs D'ACER, dels tapajunts i de les ferramentes.</t>
  </si>
  <si>
    <t>DESMUNTATGE DE PORTA P2b - PORTA DE DM HIDRÒFUG I ESTRUCTRUA INTERIOR DE PI. AMB ACABAT PINTURA A L'ESMALT. Aixecat de porta interior de DM XAPADA AMB HPL, amb mitjans manuals, sense deteriorar el parament al que està subjecta, i càrrega manual sobre camió o contenidor. El preu inclou l'aixecat de les fulles, dels marcs D'ACER, dels tapajunts i de les ferramentes.</t>
  </si>
  <si>
    <t>DESMUNTATGE PORTA P4 - PORTA ACER PINTADA. Aixecat de porta interior d'ACER, amb mitjans manuals, sense deteriorar el parament al que està subjecta, i càrrega manual sobre camió o contenidor. El preu inclou l'aixecat de les fulles, dels marcs D'ACER, dels tapajunts i de les ferramentes.</t>
  </si>
  <si>
    <t>PORTA SORTIDA CARRER ESTABLES</t>
  </si>
  <si>
    <t>PORTA ENTRADA OFICINES DES DE PATI NEVERES</t>
  </si>
  <si>
    <t>DESMUNTATGE DE PORTA P3 + P5 PORTA DE PANNELL SANDWICH AMB TANCAMENT AUTOMÀTIC.  Aixecat de porta ESPECIAL DE CAMBRA FREDA I ZONA SPF AMB PANNELL SADWICH, amb mitjans manuals, i càrrega manual sobre camió o contenidor. El preu inclou l'aixecat de les fulles, dels marcs D'ACER, dels tapajunts i de les ferramentes.</t>
  </si>
  <si>
    <t>ESTINTOLAMENT PREVI EXECUCIÓ OBERTURES. Execució d'estintolament de llinda de buit en mur, d'entre 2 i 3 m d'altura, compost per puntals metàl·lics telescòpics, amortitzables en 150 usos i taulers de fusta de pi, amortitzables en 10 usos. Inclús anivellació, fixació amb claus d'acer, minves, talls, treballs de muntatge, posada en càrrega i retirada de l'estintolament després del seu ús.</t>
  </si>
  <si>
    <t xml:space="preserve">0PB020
</t>
  </si>
  <si>
    <t>ML</t>
  </si>
  <si>
    <t>LLINDA HEB 100. Llinda de perfil d'acer UNE-EN 10025 S275JR, laminat en calent, format per peça simple de la sèrie HEB 100, acabat amb capa d'emprimació anticorrosiva mitjançant aplicació de dues mans, tallat a mida i col·locació en obra sobre daus de formigó. Inclús formigonat dels daus de formigó HM-25/B/20/I, en els brancals del buit per a suport de la llinda.</t>
  </si>
  <si>
    <t>LLINDA PREFAB. FORMIGÓ PER AGUANTAR ENVÀ DE 4CM INTERIOR. Llinda realitzada amb bigueta auto-resistent de formigó pretensat T-18 de 1,2 m de longitud, recolzada sobre capa de morter de ciment, industrial, M-7,5, de 2 cm de gruix; per la formació de llinda en buit de mur de fàbrica.</t>
  </si>
  <si>
    <t xml:space="preserve">FCH020
</t>
  </si>
  <si>
    <t xml:space="preserve">FCA010
</t>
  </si>
  <si>
    <t>ACABATS REVESTIMENTS</t>
  </si>
  <si>
    <t>RAM DE PALETA, TANCAMENTS I PARTICIONS</t>
  </si>
  <si>
    <t>FFQ010</t>
  </si>
  <si>
    <t>E01 - NOU ENVÀ DE TOTXANA.  Fulla de partició interior de 9 cm d'espessor de fàbrica, de maó ceràmic buit (totxana), per revestir, 29x14x9 cm, amb junts horitzontals i verticals de 5 mm d'espessor, junt renfonsada, rebuda amb morter de ciment industrial, color gris, M-5, subministrat a granel, amb banda elàstica, de banda flexible d'escuma de polietilè reticulat de cel·les tancades, de 10 mm d'espessor i 110 mm d'amplada, resistència tèrmica 0,25 m²K/W, conductivitat tèrmica 0,04 W/(mK) i rigidesa dinàmica 57,7 MN/m³, fixada als forjats i a les trobades amb altres elements verticals amb pasta de guix. Inclús replanteig, anivellació i aplomat, rebut de bastiment i bastiments de base, minves i ruptures, lligadures, caps, execució de trobades i neteja.</t>
  </si>
  <si>
    <t>NOUS ESTABLES</t>
  </si>
  <si>
    <t>ZONA ANTIGA CAMBRA FREDA</t>
  </si>
  <si>
    <t xml:space="preserve">FBY010
</t>
  </si>
  <si>
    <t>SEPARACIONS ENTRE DESPATXOS</t>
  </si>
  <si>
    <t>E03-  ENVÀ DE CARTRÓ GUIX DE PLACA SIMPLE DE 15mm I PERFIL 48mm AMB LLANA DE ROCA INTERIOR. Envà senzill (15+48+15)/400 (48) LM - (2 normal), amb plaques de guix laminat, sobre banda acústica, format per una estructura simple, amb disposició normal "N" dels muntants; aïllament acústic mitjançant panell semirígid de llana mineral, espessor 45 mm, en l'ànima; 78 mm de gruix total. El preu inclou la resolució de trobades i punts singulars i les ajudes de paleta per a instal·lacions.</t>
  </si>
  <si>
    <t>SEPARACIÓ ESTABULARI-OFICINES</t>
  </si>
  <si>
    <t xml:space="preserve">E02 - ENVÀ DE CARTRÓ GUIX AMB DOBLE PLACA DE 15mm I PERFIL 48mm AMB LLANA DE ROCA INTERIOR. Envà múltiple (15+15+48+15+15)/400 (48) LM - (4 normal), amb plaques de guix laminat, sobre banda acústica, format per una estructura simple, amb disposició normal "N" dels muntants; aïllament acústic mitjançant panell semirígid de llana mineral, espessor 45 mm, en l'ànima; 108 mm de gruix total. El preu inclou la resolució de trobades i punts singulars i les ajudes de paleta per a instal·lacions.
</t>
  </si>
  <si>
    <t>PERÍMETRE ZONA OFICINES</t>
  </si>
  <si>
    <t>(Fins a fals sostre)</t>
  </si>
  <si>
    <t>E04 - EXTRADOSSAT DE CARTRÓ GUIX DE PLACA SIMPLE DE 15mm I PERFIL DE 48mm AMB LLANA DE ROCA INTERIOR. Subministrament i muntatge d'extradossat autoportant lliure sobre tancament, W 625 "KNAUF", de 63 mm de gruix total, compost per placa de guix laminat tipus Standard (A) de 15 mm d'espessor, cargolada directament a una estructura autoportant d'acer galvanitzat formada per canals horitzontals, sòlidament fixats al terra i al sostre i muntants verticals de 48 mm i 0,6 mm d'espessor amb una modulació de 600 mm i amb disposició normal "N", muntats sobre canals al costat del tancament vertical. Inclús p/p de replanteig de la perfileria, zones de pas i buits; col·locació en tot el seu perímetre de cintes o bandes estances, en la superfície de recolzament o contacte de la perfileria amb els paraments; ancoratges de canals i muntants metàl·lics; tall i fixació de les plaques mitjançant cargols; tractament de les zones de pas i buits; execució d'angles; tractament de junts mitjançant pasta i cinta de junts; rebut de les caixes per a allotjament de mecanismes elèctrics i de pas d'instal·lacions, previ replanteig de la seva ubicació en les plaques i perforació de les mateixes, i neteja final. Totalment acabat i llest per emprimar, pintar o revestir (sense incloure en aquest preu l'aïllament a col·locar entre panells).</t>
  </si>
  <si>
    <t xml:space="preserve">FFW015
</t>
  </si>
  <si>
    <t>m2</t>
  </si>
  <si>
    <t>AÏLLAMENT ACÚSTIC. Aïllament acústic, a soroll aeri, en partició interior de fulla de fàbrica, realitzat amb panell rígid de poliestirè expandit elastificat, segons UNE-EN 13163, de superfície llisa i mecanitzat lateral de mitja mossa, de 30 mm d'espessor, resistència tèrmica 0,91 m²K/W, conductivitat tèrmica 0,033 W/(mK), col·locat a topall i fixat amb paletades d'adhesiu cimentós. Inclús cinta viscoelàstica autoadhesiva. Per closa de juntes.</t>
  </si>
  <si>
    <t xml:space="preserve">NBP011
</t>
  </si>
  <si>
    <t xml:space="preserve">ANS010
</t>
  </si>
  <si>
    <t>PISCINA 1</t>
  </si>
  <si>
    <t>PISCINA 2</t>
  </si>
  <si>
    <t>PISCINA 3</t>
  </si>
  <si>
    <t>RAMPA</t>
  </si>
  <si>
    <t xml:space="preserve">FFQ010
</t>
  </si>
  <si>
    <t>FORMACIÓ DE PERÍMETRE DE BASE DE PISCINES i RAMPES AMB 2 FILADES DE MAÓ CALAT (GERO) ANCORAT EN LLOSA EXISTENT. Fulla de partició interior de 29 cm d'espessor de fàbrica, de maó ceràmic calat (gero), per revestir, 29x14x5 cm, amb junts horitzontals i verticals de 5 mm d'espessor, junt renfonsada rebuda amb morter de ciment industrial, color gris, M-5, subministrat a granel, amb banda elàstica en les unions amb altres elements constructius, de banda flexible d'escuma de polietilè reticulat de cel·les tancades, de 10 mm d'espessor i 110 mm d'amplada. ANCORADA EN LLOSA INFERIOR AMB BARRES D'ACER AMB EPOXI DIAM 10 c/40cm.</t>
  </si>
  <si>
    <t>Perímetre piscines</t>
  </si>
  <si>
    <t>h</t>
  </si>
  <si>
    <t>uts</t>
  </si>
  <si>
    <t xml:space="preserve">IMPERMEABILITZACIÓ PISCINES ESTABLES. POLIUREA. Aplicació de membrana a base de poliurea pura bicomponent per la impermeabilització d'obres hidràuliques. Subministrament i posada en obra de membrana bicomponent a base de poliurea pura exenta de disolvents tipus purtop 1000 de MAPEI, de impermeabilitat i transitabilitat inmediates per la impermeabilització d'obres hidràuliques en general. el producte haurà d'aplicar-se mitjançant unitat mescladora industrial a alata pressió, amb control de flux i temperatura, equipada amb pistola autonetejadora sobre suports nets i sòlids tractats prèvimanet amb imprimació en un gruix de 2mm. </t>
  </si>
  <si>
    <t>MAP-POL</t>
  </si>
  <si>
    <t xml:space="preserve">NOU REMAT DE FAÇANA METÀL·LICA VENTILADA DE XAPA. EMBOCAT DE XAPA D'ACER GALVANITZAT. Marc perimetral de Tancament de façana simple format per panells de xapa perfilada nervada d'acer S320 GD galvanitzat de 0,6 mm espessor i 30 mm altura de cresta.MARC FORMAT PER XAPA METÀL·LICA IGUAL A L'EXISTENT.
</t>
  </si>
  <si>
    <t xml:space="preserve">FLA010
</t>
  </si>
  <si>
    <t xml:space="preserve">NOTA PRÈVIA. Tots els premarcs i ajudes estan inclosos en els preus adjunts. </t>
  </si>
  <si>
    <t xml:space="preserve">PA </t>
  </si>
  <si>
    <t xml:space="preserve">Desmuntatge i retirada a abocador d'equipament existent. </t>
  </si>
  <si>
    <t>Pica àmbit estables rosegadors.</t>
  </si>
  <si>
    <t xml:space="preserve">Expenedors de peücs, guants, barrets, etc. </t>
  </si>
  <si>
    <t>Altres elements menors d'equipament.</t>
  </si>
  <si>
    <t xml:space="preserve">Dossificadors clavats en paret. </t>
  </si>
  <si>
    <t xml:space="preserve">PAVIMENT i SÒCOL DE VINIL TARCKETT O EQUIVALENT SEMBLANT A L'EXISTENT, ENCOLAT, SOBRE CAPA D'EMPRIMACIÓ DE REGULARITZACIÓ DE 3mm SOBRE BASE NETEJADA. Paviment vinílic homogeni, de 2,0 mm d'espessor, amb tractament de protecció superficial a base de poliuretà, color a escollir; subministrat en rotllos de 200 cm d'amplada; pes total: 3150 g/m²; classificació a l'ús, segons UNE-EN ISO 10874: classe 23 per a ús domèstic; classe 34 per a ús comercial; classe 43 per a ús industrial; reducció del soroll d'impactes 4 dB, segons UNE-EN ISO 10140; resistència al foc Bfl-s1, segons UNE-EN 13501-1, fixat amb adhesiu de contacte a força de resines acríliques en dispersió aquosa (250 g/m²), sobre capa fina d'anivellació no inclosa en aquest preu. Inclús replanteig, talls, aplicació de l'adhesiu mitjançant espàtula dentada, soldat d'unió i junts entre rotllos amb cordó termofusible, resolució de trobades, junts perimetrals i junts de dilatació de l'edifici, eliminació i neteja del material sobrant i neteja final del paviment.
</t>
  </si>
  <si>
    <t xml:space="preserve">RSS030
</t>
  </si>
  <si>
    <t>Reparació àmbit sala de formació</t>
  </si>
  <si>
    <t>Zona noves oficines</t>
  </si>
  <si>
    <t>FORMACIÓ DE BASE DE PISCINES i RAMPES. 5 a 10CM ALT. Formació de solera de formigó en massa AMB PENDENT SEGONS PLÀNOL A08 de 5 a 10 cm d'espessor, realitzada amb formigó HM-15/B/20/I fabricat amb formigonera en obra l i abocament, sense tractament de la seva superfície; recolzada sobre capa base existent (solera inferior). Inclús p/p de preparació de la superfície de recolzament del formigó, estesa i vibrat del formigó mitjançant regla vibrant, formació de juntes de construcció i col·locació d'un panell de poliestirè expandit de 3 cm d'espessor, al voltant de qualsevol element que interrompi la sola, com pilars i murs, per a l'execució de juntes de retracció; embroquetat o connexió dels elements exteriors (cèrcols d'arquetes, boneres, caixes sifòniques, etc.) de les xarxes d'instal·lacions executades sota la solera; curació del formigó; formació de junts de retracció de 5 a 10 mm d'amplada, amb una profunditat d'1/3 del gruix de la solera, realitzades amb serra de disc, formant quadrícula, i neteja del junt.</t>
  </si>
  <si>
    <t>ACABAMENTS DE PAVIMENTS, Llindes de noves portes a exterior. TERRATZO 60X60. POLIT. AMORTERAT. -P- Subministrament i col·locació de paviment de rajoles de terratzo gra mig (entre 6 i 27 mm) per a interior, classificat d'ús ús normal segons UNE-EN 13748-1, de 40x40 cm, color Negre i en possessió de certificats d'assaigs, amb un polit inicial en fàbrica, per a polir i abrillantar en obra; col·locades a cop de martell sobre llit de morter de ciment, industrial, M-5, de 3 cm d'espessor; i separades d'1 a 1,5 mm entre si. Inclús replantejament, humectació de les peces, formació de junts perimetrals continus, d'amplada no menor de 5 mm, en els límits amb parets, pilars exempts i elevacions de nivell i, en el seu cas, junts de contracció i junts estructurals o de dilatació existents en el suport; replè dels junts de separació entre rajoles amb beurada de ciment blanc BL-V 22,5 acolorada amb la mateixa tonalitat de les rajoles i neteja final. INCLOU POLIT I ABRILLANTAT.</t>
  </si>
  <si>
    <t>RSC010</t>
  </si>
  <si>
    <t>R - REPARACIÓ PUNTUAL VINIL PARETS - ÀMBIT FORMACIÓ.  Revestiment decoratiu amb làmina homogènia de PVC, de 0,90 mm d'espessor, amb tractament de protecció superficial PUR, color a escollir, fixació amb adhesiu a base de resina acrílica en dispersió aquosa, sobre la superfície regularitzada de paraments verticals interiors.</t>
  </si>
  <si>
    <t>RDS020</t>
  </si>
  <si>
    <t>H</t>
  </si>
  <si>
    <t>AMPLE</t>
  </si>
  <si>
    <t>B - ENRAJOLAT AMB PEÇA CERÀMICA ESMALTADA 40X40 IGUAL A L'EXISTENT EN ESTABLES EXISTENTS. Enrajolat amb rajola de València acabat llis, 40X40 cm, 12€/m², capacitat d'absorció d'aigua E&gt;10%, grup BIII, amb resistència al lliscament Rd&lt;=15 segons UNE-ENV 12633 i lliscabilitat classe 0 segons CTE, col·locat sobre una superfície suport de fàbrica, en paraments interiors, rebut amb morter de ciment M-5, estès sobre tota la cara posterior de la peça i ajustat a punta de paleta, reomplint amb el mateix morter els buits que poguessin quedar, i rejuntat amb morter de junts cimentós tipus L, color blanc, per junts de fins a 3 mm. Inclús preparació de la superfície suport mitjançant humitejat de la fàbrica, esquitxat amb morter de ciment fluid i repicat de la superfície d'elements de formigó (pilars, etc.); replanteig, talls, cantoneres de PVC, i junts; acabat i neteja final.</t>
  </si>
  <si>
    <t xml:space="preserve">RAG011
</t>
  </si>
  <si>
    <t>PARETS ÀMBIT ESTABLE.</t>
  </si>
  <si>
    <t>T</t>
  </si>
  <si>
    <t>PINTURA PLÀSITCA SOBRE GUIX O SOBRE PLACA DE CARTRÓ GUIX VERTICAL. Aplicació manual de dues mans de pintura plàstica color blanc, acabat mat, textura llisa, la primera mà diluïda amb un 20% d'aigua i la següent sense diluir, (rendiment: 0,1 l/m² cada mà); prèvia aplicació d'una mà d'emprimació a base de copolímers acrílics en suspensió aquosa, sobre parament interior de guix projectat o plaques de guix laminat, vertical, de fins 3 m d'altura.</t>
  </si>
  <si>
    <t xml:space="preserve">RIP035
</t>
  </si>
  <si>
    <t>ÀMBIT OFICINES</t>
  </si>
  <si>
    <t>Divisió entre despatxos</t>
  </si>
  <si>
    <t>Sala principal</t>
  </si>
  <si>
    <t>Sales secundàries</t>
  </si>
  <si>
    <t>P- FALS SOSTRE REGISTRABLE DE PLAQUES DE CARTRÓ GUIX DE 60X60 AMB GUIA VISTA Fals sostre registrable situat a una altura menor de 4 m, decoratiu, constituït per plaques de guix laminat, llises, acabat sense revestir, de 600x600x9,5 mm, per a falsos sostres registrables, suspès del forjat mitjançant perfileria vista, comprenent perfils primaris, secundaris i angulars d'acabat, fixats al sostre mitjançant varetes i penjants.</t>
  </si>
  <si>
    <t xml:space="preserve">RTD020
</t>
  </si>
  <si>
    <t>Sala principal oficines</t>
  </si>
  <si>
    <t>Despatx</t>
  </si>
  <si>
    <t>Accés</t>
  </si>
  <si>
    <t>Sala de formació</t>
  </si>
  <si>
    <t xml:space="preserve">RTC015
</t>
  </si>
  <si>
    <t>FALS SOSTRE CONTÍNU. Fals sostre continu suspès, situat a una altura menor de 4 m, amb nivell de qualitat de l'acabat estàndard (Q2), llis (12,5+27+27), format per una placa de guix laminat A / UNE-EN 520 - 1200 / longitud / 12,5 / amb les vores longitudinals afinades, cargolada a una estructura metàl·lica d'acer galvanitzat de mestres primàries 60/27 mm separades cada 1000 mm entre eixos i suspeses del sostre o element suport mitjançant penjats combinats cada 900 mm, i mestres secundaries fixades perpendicularment a els perfils primaris mitjançant connectors tipus cavalló i col·locades amb una modulació màxima de 500 mm entre eixos. Inclús banda acústica, fixacions per a l'ancoratge dels perfils, cargols per a la fixació de les plaques, pasta i cinta per al tractament de junts i accessoris de muntatge.</t>
  </si>
  <si>
    <t>Sala de treball i despatxos - àmbit oficines</t>
  </si>
  <si>
    <t>Sales auxiliars zona oficines</t>
  </si>
  <si>
    <t xml:space="preserve">FALS SOSTRE CONTÍNU HIDRÒFUG - ESTABLES. Fals sostre continu suspès, situat a una altura menor de 4 m, amb nivell de qualitat de l'acabat estàndard (Q2), llis (12,5+27+27), format per una placa de guix laminat H1 / UNE-EN 520 - 1200 / longitud / 12,5 / amb les vores longitudinals afinades, amb ànima de guix hidrofugat, per zones humides cargolada a una estructura metàl·lica d'acer galvanitzat de mestres primàries 60/27 mm separades cada 1000 mm entre eixos i suspeses del sostre o element suport mitjançant penjats combinats cada 900 mm, i mestres secundaries fixades perpendicularment a els perfils primaris mitjançant connectors tipus cavalló i col·locades amb una modulació màxima de 500 mm entre eixos. Inclús banda acústica, fixacions per a l'ancoratge dels perfils, cargols per a la fixació de les plaques, pasta i cinta per al tractament de junts i accessoris de muntatge.
</t>
  </si>
  <si>
    <t>PINTURA EN SOSTRES. Aplicació manual de dues mans de pintura plàstica color blanc, acabat mat, textura llisa, la primera mà diluïda amb un 20% d'aigua i la següent sense diluir, (rendiment: 0,1 l/m² cada mà); prèvia aplicació d'una mà d'emprimació a base de copolímers acrílics en suspensió aquosa, sobre parament interior de guix projectat o plaques de guix laminat, horitzontal, fins a 3 m d'altura. El preu inclou la protecció dels elements de l'entorn que puguin veure's afectats durant els treballs i la resolució de punts singulars.</t>
  </si>
  <si>
    <t>FALSOS SOSTRES CONTÍNUS</t>
  </si>
  <si>
    <t xml:space="preserve">PN1 - PORTA ACCÉS DES DE L'EXTERIOR. Porta interior abatible de dues fulles de 38 mm d'espessor, 1840x2045 mm de llum i altura de pas, acabat lacat en color blanc formada per dues xapes d'acer galvanitzat de 0,5 mm d'espessor, plegades, acoblades i muntades, amb cambra intermèdia replena de poliuretà, sobre marc d'acer galvanitzat de 1 mm d'espessor, amb bastiment de base. Inclús cargols autoroscants per a la fixació del bastiment de base al parament i cargols autoroscants per a la fixació del bastiment al bastiment de base. INCLÒS MOLLA AUTOCANAMENT I FERRAMENTA DE FIXACIÓ D'UNA DE LES FULLES A TERRA. TAMBÉ PANY I CLAU D'ACER INOX A JOC AMB LA RESTA DE L'EDIFICI. </t>
  </si>
  <si>
    <t xml:space="preserve">LPA010
</t>
  </si>
  <si>
    <t xml:space="preserve">PN2 - PORTA DE MAGATZEM. Porta interior abatible d'una fulla de 38 mm d'espessor, 800x2045 mm de llum i altura de pas, acabat lacat en color blanc formada per dues xapes d'acer galvanitzat de 0,5 mm d'espessor, plegades, acoblades i muntades, amb cambra intermèdia replena de poliuretà, sobre marc d'acer galvanitzat de 1 mm d'espessor, amb bastiment de base. Inclús cargols autoroscants per a la fixació del bastiment de base al parament i cargols autoroscants per a la fixació del bastiment al bastiment de base. INCLÒS MOLLA AUTOCANAMENT I FERRAMENTA DE FIXACIÓ D'UNA DE LES FULLES A TERRA. TAMBÉ PANY I CLAU D'ACER INOX A JOC AMB LA RESTA DE L'EDIFICI. </t>
  </si>
  <si>
    <t xml:space="preserve">PN3 - PORTA ACCÉS PATI CONGELADORS. Porta interior abatible de dues fulles de 38 mm d'espessor, 1840x2045 mm de llum i altura de pas, acabat lacat en color blanc formada per dues xapes d'acer galvanitzat de 0,5 mm d'espessor, plegades, acoblades i muntades, amb cambra intermèdia replena de poliuretà, sobre marc d'acer galvanitzat de 1 mm d'espessor, amb bastiment de base. Inclús cargols autoroscants per a la fixació del bastiment de base al parament i cargols autoroscants per a la fixació del bastiment al bastiment de base. INCLÒS MOLLA AUTOCANAMENT I FERRAMENTA DE FIXACIÓ D'UNA DE LES FULLES A TERRA. TAMBÉ PANY I CLAU D'ACER INOX A JOC AMB LA RESTA DE L'EDIFICI. </t>
  </si>
  <si>
    <t>PN4 - NOVA BALCONERA EXTERIOR - ÀMBIT ESTABLES. Porta d'alumini, gamma bàsica, una fulla practicable, amb obertura cap a l'interior, dimensions 1000x2100 mm, acabat lacat color blanc, amb el segell QUALICOAT, que garanteix el gruix i la qualitat del procés de lacat, composta de fulla de 53 mm i marc de 45 mm, rivets, galze, junts d'estanquitat d'EPDM, maneta i ferraments, segons UNE-EN 14351-1; transmitància tèrmica del marc: Uh,m = des de 5,7 W/(m²K); gruix màxim de l'envidriament: 30 mm, amb classificació a la permeabilitat a l'aire classe 4, segons UNE-EN 12207, classificació a l'estanquitat a l'aigua classe 9A, segons UNE-EN 12208, i classificació a la resistència a la força del vent classe C5, segons UNE-EN 12210, amb pany de seguretat, sense bastiment de base i sense persiana. Inclús patilles d'ancoratge per a la fixació de la fusteria, silicona per a segellat perimetral del junt entre la fusteria exterior i el parament.</t>
  </si>
  <si>
    <t xml:space="preserve">LCL060
</t>
  </si>
  <si>
    <t>PMM010</t>
  </si>
  <si>
    <t>Fix gran</t>
  </si>
  <si>
    <t>Fix gran superior</t>
  </si>
  <si>
    <t>Fix petit</t>
  </si>
  <si>
    <t>Fix petit superior</t>
  </si>
  <si>
    <t>Fix petit sobre porta</t>
  </si>
  <si>
    <t>Porta</t>
  </si>
  <si>
    <t xml:space="preserve">PM1 - MAMPARA i PORTA. Subministrament i muntatge de partició desmuntable formada per mampara modular de vidre laminar de seguretat 6+6 transparent, junt entre vidres amb silicona, sense perfileria entre mòduls, perfileria vista superior de 35x45 mm i inferior de 60x45 mm, d'alumini anoditzat o lacat estàndard. Fins i tot p/p de ferraments, rematades, segellat de junts, suports, trobades amb altres tipus de paraments, col·locació de canalitzacions per a instal·lacions i encaixos per a mecanismes elèctrics. Totalment acabada. PORTA - Subministrament i col·locació de porta de vidre trempat transparent de 10 mm d'espessor, de 2100x800 mm, perfils verticals d'alumini amb tapajunts per a ocultar el cavalcament amb l'estructura de la mampara contigua, fix superior de vidre laminar de seguretat 5+5, perfileria vista superior d'alumini anoditzat o lacat estàndard; per a mampara modular. Fins i tot p/p de ferradures, rematades i segellat de junts. Inclou fix sobre porta igual a la mampara. Gamma mitja baixa. </t>
  </si>
  <si>
    <t xml:space="preserve">PM2 - MAMPARA i PORTA. Subministrament i muntatge de partició desmuntable formada per mampara modular de vidre laminar de seguretat 6+6 transparent, junt entre vidres amb silicona, sense perfileria entre mòduls, perfileria vista superior de 35x45 mm i inferior de 60x45 mm, d'alumini anoditzat o lacat estàndard. Fins i tot p/p de ferraments, rematades, segellat de junts, suports, trobades amb altres tipus de paraments, col·locació de canalitzacions per a instal·lacions i encaixos per a mecanismes elèctrics. Totalment acabada. PORTA - Subministrament i col·locació de porta de vidre trempat transparent de 10 mm d'espessor, de 2100x800 mm, perfils verticals d'alumini amb tapajunts per a ocultar el cavalcament amb l'estructura de la mampara contigua, fix superior de vidre laminar de seguretat 5+5, perfileria vista superior d'alumini anoditzat o lacat estàndard; per a mampara modular. Fins i tot p/p de ferradures, rematades i segellat de junts. Inclou fix sobre porta igual a la mampara. Gamma mitja baixa. </t>
  </si>
  <si>
    <t xml:space="preserve">PM3 - MAMPARA i PORTA. Subministrament i muntatge de partició desmuntable formada per mampara modular de vidre laminar de seguretat 6+6 transparent, junt entre vidres amb silicona, sense perfileria entre mòduls, perfileria vista superior de 35x45 mm i inferior de 60x45 mm, d'alumini anoditzat o lacat estàndard. Fins i tot p/p de ferraments, rematades, segellat de junts, suports, trobades amb altres tipus de paraments, col·locació de canalitzacions per a instal·lacions i encaixos per a mecanismes elèctrics. Totalment acabada. PORTA - Subministrament i col·locació de porta de vidre trempat transparent de 10 mm d'espessor, de 2100x800 mm, perfils verticals d'alumini amb tapajunts per a ocultar el cavalcament amb l'estructura de la mampara contigua, fix superior de vidre laminar de seguretat 5+5, perfileria vista superior d'alumini anoditzat o lacat estàndard; per a mampara modular. Fins i tot p/p de ferradures, rematades i segellat de junts. Inclou fix sobre porta igual a la mampara. Gamma mitja baixa. </t>
  </si>
  <si>
    <t>CONDUCTES MULTICAPA DIAM 160. Baixant interior de la xarxa d'evacuació d'aigües residuals, formada per tub de polipropilè, de 160 mm de diàmetre i 4,3 mm de gruix; unió a pressió amb junta elàstica. Inclús material auxiliar para muntatge i subjecció a l'obra, accessoris i peces especials.</t>
  </si>
  <si>
    <t xml:space="preserve">ISB010
</t>
  </si>
  <si>
    <t>ml</t>
  </si>
  <si>
    <t>BONERES SIFÒNIQUES DIAM. 160. Subministrament i muntatge de galleda amb bonera sifònica de PVC, de sortida vertical de 125 mm de diàmetre, amb reixeta plana de polipropilè de 300x300 mm, color negre, per a recollida d'aigües pluvials o de locals humits. Inclús p/p d'accessoris de muntatge, peces especials, material auxiliar i elements de subjecció. Totalment muntada, connectada a la xarxa general de desguàs i provada.</t>
  </si>
  <si>
    <t xml:space="preserve">ASI010
</t>
  </si>
  <si>
    <t>CONDUCTES MULTICAPA DIAM. 125. Baixant interior de la xarxa d'evacuació d'aigües residuals, formada per tub de polipropilè, de 110 mm de diàmetre i 3,1 mm de gruix; unió a pressió amb junta elàstica. Inclús material auxiliar para muntatge i subjecció a l'obra, accessoris i peces especials.</t>
  </si>
  <si>
    <t>SIFÓ DE CONNEXIÓ A XARXA EXISTENT DIAM. 160. Subministrament i muntatge de sifó en línia de PVC, "JIMTEN", color gris, registrable, amb unió mascle/femella, de 160 mm de diàmetre, col·locat entre el col·lector de sortida i l'escomesa. Totalment muntat.</t>
  </si>
  <si>
    <t xml:space="preserve">ISS008
</t>
  </si>
  <si>
    <t>PERICÓ DE REGISTRE DE SIFÓ DIAM. 160. Pericó de pas, registrable, soterrada, construït amb fàbrica de maó ceràmic massís, de 1/2 peu d'espessor, rebut amb morter de ciment, industrial, M-5, de dimensions interiors 70x70x55 cm, sobre solera de formigó en massa HM-30/B/20/I+Qb de 15 cm d'espessor, formació de pendent mínima del 2%, amb el mateix tipus de formigó, arrebossat i brunyit interiorment amb morter de ciment, industrial, amb additiu hidròfug, M-15 formant arestes i cantonades a mitja canya, tancat superiorment amb marc i tapa de ferro colat classe B-125 segons UNE-EN 124; prèvia excavació amb mitjans mecànics i posterior reomplert de l'extradós amb material granular. Inclús morter per a segellat de junts i col·lector de connexió de PVC, de tres entrades i una sortida, amb tapa de registre, per a trobades.</t>
  </si>
  <si>
    <t xml:space="preserve">ASA010
</t>
  </si>
  <si>
    <t>ASI050</t>
  </si>
  <si>
    <t>CANAL PORTES ACCÉS I SORTIDA EXTERIOR A CARRER. Canaleta prefabricada de formigó polímer, de 1000 mm de longitud, 127 mm d'ample exterior, 100 mm d'ample interior i 95 mm d'altura, amb reixeta nervada d'acer galvanitzat, classe A-15 segons UNE-EN 124, amb sistema de fixació ràpida per pressió, col·locada sobre solera de formigó en massa HM-20/B/20/I de 10 cm d'espessor. Inclús accessoris de muntatge, peces especials i elements de subjecció. El preu no inclou l'excavació. INCLOU CONNEXIÓ SIFÒNICA A XARXA GENERAL.</t>
  </si>
  <si>
    <t>TAPAT DE RASA EXTERIOR PAS SANEJAMENT. Formació de rebliments de rases per instal·lacions, amb sorra de 0 a 5 mm de diàmetre i compactació en tongades successives de 20 cm d'espessor màxim amb safata vibrant de guiat manual, fins a assolir una densitat seca no inferior al 95% de la màxima obtinguda en l'assaig Proctor Modificat, realitzat segons UNE 103501 (assaig no inclòs en aquest preu). Fins i tot cinta o distintiu indicador de la instal·lació, càrrega, transport i descàrrega a peu de tall dels àrids a utilitzar en els treballs de reblert i humectació dels mateixos.</t>
  </si>
  <si>
    <t>ADR010</t>
  </si>
  <si>
    <t>AJUDA ASFALTAT DE PAVIMENT EXTERIOR PER TAPAT RASA SANEJAMENT. Formació de paviment de 8 cm de gruix, realitzat amb barreja bituminosa en fred de composició densa, tipus DF12, amb àrid granític i emulsió bituminosa. Inclús p/p de comprovació de l'anivellació de la superfície suport, replanteig del gruix del paviment i neteja final. Sense incloure la preparació de la capa base existent.</t>
  </si>
  <si>
    <t xml:space="preserve">UXF020
</t>
  </si>
  <si>
    <t>PAVIMENT D'SLATS DE PLÀSTIC de 60x50cm model Wean to finish</t>
  </si>
  <si>
    <t>ERRA</t>
  </si>
  <si>
    <t>ESTRUCTURA DE BIGUETES  PER A PAVIMENT D'SLATS de fibres de 12cm de cantell. Llum de 1,40m</t>
  </si>
  <si>
    <t>ESTRUCTURA DE BIGUETES  PER A PAVIMENT D'SLATS de fibres de 12cm de cantell. Llum de 1,85m</t>
  </si>
  <si>
    <t>ESTRUCTURA DE BIGUETES  PER A PAVIMENT D'SLATS de fibres de 12cm de cantell. Llum de 2,75m</t>
  </si>
  <si>
    <t xml:space="preserve">DIVISIONS ENTRE ESTABLES amb separadors de polipropilè d'1m d'altura amb perforacions a la part superior per la ventilació dels estables. </t>
  </si>
  <si>
    <t>TAPAJUNTS PER A SLATS d'acer inoxidable en forma de L</t>
  </si>
  <si>
    <t>ACCESSORIS DE CONNEXIO ENTRE DIVISONS d'acer inoxidable fixats al propi separador.</t>
  </si>
  <si>
    <t>MUNTANTS PER A FIXACIÓ DE DIVISIONS A PARET d'acer inoxidable ancorats a paret</t>
  </si>
  <si>
    <t>POSTES DE FIXACIÓ PER DIVISIONS, d'acer inoxidable fixats en paviment</t>
  </si>
  <si>
    <t>ABEURADORS regulable en altura d'acer inoxidable. Inclòs xumet.</t>
  </si>
  <si>
    <t>MENJADORA d'acer inoxidable amb ganxos per fixar-se a Slats de plàstic. Apte per a ovelles, porcs i minipigs</t>
  </si>
  <si>
    <t>NOVA CAMBRA FREDA</t>
  </si>
  <si>
    <t>(Buit per 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</si>
</sst>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0.00_ ;[Red]\-#,##0.00\ "/>
  </numFmts>
  <fonts count="11"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10"/>
      <name val="Arial"/>
      <family val="2"/>
    </font>
    <font>
      <b/>
      <sz val="9"/>
      <name val="Arial"/>
      <family val="2"/>
    </font>
    <font>
      <b/>
      <sz val="9"/>
      <color rgb="FF000000"/>
      <name val="Calibri"/>
      <family val="2"/>
    </font>
    <font>
      <sz val="9"/>
      <color rgb="FF000000"/>
      <name val="Calibri"/>
      <family val="2"/>
    </font>
    <font>
      <sz val="9"/>
      <color rgb="FFFF0000"/>
      <name val="Calibri"/>
      <family val="2"/>
      <scheme val="minor"/>
    </font>
    <font>
      <sz val="9"/>
      <name val="Calibri"/>
      <family val="2"/>
      <scheme val="minor"/>
    </font>
    <font>
      <sz val="9"/>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indexed="31"/>
      </patternFill>
    </fill>
    <fill>
      <patternFill patternType="solid">
        <fgColor theme="0" tint="-0.14999847407452621"/>
        <bgColor indexed="64"/>
      </patternFill>
    </fill>
  </fills>
  <borders count="1">
    <border>
      <left/>
      <right/>
      <top/>
      <bottom/>
      <diagonal/>
    </border>
  </borders>
  <cellStyleXfs count="2">
    <xf numFmtId="0" fontId="0" fillId="0" borderId="0"/>
    <xf numFmtId="0" fontId="4" fillId="0" borderId="0"/>
  </cellStyleXfs>
  <cellXfs count="66">
    <xf numFmtId="0" fontId="0" fillId="0" borderId="0" xfId="0"/>
    <xf numFmtId="0" fontId="2"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165" fontId="5" fillId="2" borderId="0" xfId="1" applyNumberFormat="1" applyFont="1" applyFill="1" applyBorder="1" applyAlignment="1" applyProtection="1">
      <alignment horizontal="center" vertical="top" wrapText="1"/>
      <protection locked="0"/>
    </xf>
    <xf numFmtId="165" fontId="5" fillId="2" borderId="0" xfId="1" applyNumberFormat="1" applyFont="1" applyFill="1" applyBorder="1" applyAlignment="1" applyProtection="1">
      <alignment horizontal="left" vertical="top" wrapText="1"/>
      <protection locked="0"/>
    </xf>
    <xf numFmtId="164" fontId="5" fillId="2" borderId="0" xfId="1" applyNumberFormat="1" applyFont="1" applyFill="1" applyBorder="1" applyAlignment="1" applyProtection="1">
      <alignment horizontal="left" vertical="top" wrapText="1"/>
      <protection locked="0"/>
    </xf>
    <xf numFmtId="165" fontId="5" fillId="3" borderId="0" xfId="1" applyNumberFormat="1" applyFont="1" applyFill="1" applyBorder="1" applyAlignment="1" applyProtection="1">
      <alignment horizontal="center" vertical="top" wrapText="1"/>
      <protection locked="0"/>
    </xf>
    <xf numFmtId="4" fontId="5" fillId="3" borderId="0" xfId="1" applyNumberFormat="1" applyFont="1" applyFill="1" applyBorder="1" applyAlignment="1" applyProtection="1">
      <alignment horizontal="center" vertical="top" wrapText="1"/>
      <protection locked="0"/>
    </xf>
    <xf numFmtId="165" fontId="5" fillId="3" borderId="0" xfId="1" applyNumberFormat="1" applyFont="1" applyFill="1" applyBorder="1" applyAlignment="1" applyProtection="1">
      <alignment horizontal="right" vertical="top" wrapText="1"/>
      <protection locked="0"/>
    </xf>
    <xf numFmtId="0" fontId="2" fillId="4" borderId="0" xfId="0" applyFont="1" applyFill="1"/>
    <xf numFmtId="164" fontId="2" fillId="4" borderId="0" xfId="0" applyNumberFormat="1" applyFont="1" applyFill="1"/>
    <xf numFmtId="165" fontId="6" fillId="4" borderId="0" xfId="0" applyNumberFormat="1" applyFont="1" applyFill="1" applyAlignment="1">
      <alignment horizontal="right" vertical="top"/>
    </xf>
    <xf numFmtId="0" fontId="3" fillId="2" borderId="0" xfId="0" applyFont="1" applyFill="1" applyAlignment="1">
      <alignment horizontal="right" vertical="top"/>
    </xf>
    <xf numFmtId="0" fontId="7" fillId="2" borderId="0" xfId="0" applyFont="1" applyFill="1" applyAlignment="1">
      <alignment horizontal="left" vertical="top"/>
    </xf>
    <xf numFmtId="49" fontId="7" fillId="2" borderId="0" xfId="0" applyNumberFormat="1" applyFont="1" applyFill="1" applyAlignment="1">
      <alignment vertical="top" wrapText="1"/>
    </xf>
    <xf numFmtId="49" fontId="7" fillId="2" borderId="0" xfId="0" applyNumberFormat="1" applyFont="1" applyFill="1" applyAlignment="1">
      <alignment vertical="top"/>
    </xf>
    <xf numFmtId="0" fontId="7" fillId="2" borderId="0" xfId="0" applyFont="1" applyFill="1" applyAlignment="1">
      <alignment vertical="top" wrapText="1"/>
    </xf>
    <xf numFmtId="164" fontId="7" fillId="2" borderId="0" xfId="0" applyNumberFormat="1" applyFont="1" applyFill="1" applyAlignment="1">
      <alignment vertical="top" wrapText="1"/>
    </xf>
    <xf numFmtId="165" fontId="7" fillId="2" borderId="0" xfId="0" applyNumberFormat="1" applyFont="1" applyFill="1" applyAlignment="1" applyProtection="1">
      <alignment vertical="top"/>
      <protection locked="0"/>
    </xf>
    <xf numFmtId="4" fontId="7" fillId="2" borderId="0" xfId="0" applyNumberFormat="1" applyFont="1" applyFill="1" applyAlignment="1">
      <alignment vertical="top"/>
    </xf>
    <xf numFmtId="165" fontId="7" fillId="2" borderId="0" xfId="0" applyNumberFormat="1" applyFont="1" applyFill="1" applyAlignment="1">
      <alignment horizontal="right" vertical="top"/>
    </xf>
    <xf numFmtId="0" fontId="3" fillId="2" borderId="0" xfId="0" applyFont="1" applyFill="1" applyAlignment="1">
      <alignment vertical="top"/>
    </xf>
    <xf numFmtId="4" fontId="0" fillId="0" borderId="0" xfId="0" applyNumberFormat="1"/>
    <xf numFmtId="0" fontId="0" fillId="0" borderId="0" xfId="0" applyAlignment="1">
      <alignment vertical="top"/>
    </xf>
    <xf numFmtId="0" fontId="0" fillId="2" borderId="0" xfId="0" applyFill="1" applyAlignment="1">
      <alignment vertical="top"/>
    </xf>
    <xf numFmtId="0" fontId="1" fillId="2" borderId="0" xfId="0" applyFont="1" applyFill="1" applyAlignment="1">
      <alignment vertical="top"/>
    </xf>
    <xf numFmtId="0" fontId="1" fillId="0" borderId="0" xfId="0" applyFont="1" applyAlignment="1">
      <alignment vertical="top"/>
    </xf>
    <xf numFmtId="4" fontId="1" fillId="0" borderId="0" xfId="0" applyNumberFormat="1" applyFont="1" applyAlignment="1">
      <alignment vertical="top"/>
    </xf>
    <xf numFmtId="0" fontId="2" fillId="4" borderId="0" xfId="0" applyFont="1" applyFill="1" applyAlignment="1">
      <alignment wrapText="1"/>
    </xf>
    <xf numFmtId="0" fontId="3" fillId="2" borderId="0" xfId="0" applyFont="1" applyFill="1" applyAlignment="1">
      <alignment vertical="top" wrapText="1"/>
    </xf>
    <xf numFmtId="0" fontId="0" fillId="0" borderId="0" xfId="0" applyAlignment="1">
      <alignment wrapText="1"/>
    </xf>
    <xf numFmtId="4" fontId="2" fillId="0" borderId="0" xfId="0" applyNumberFormat="1" applyFont="1" applyAlignment="1">
      <alignment horizontal="left" vertical="top"/>
    </xf>
    <xf numFmtId="4" fontId="5" fillId="2" borderId="0" xfId="1" applyNumberFormat="1" applyFont="1" applyFill="1" applyBorder="1" applyAlignment="1" applyProtection="1">
      <alignment horizontal="left" vertical="top" wrapText="1"/>
      <protection locked="0"/>
    </xf>
    <xf numFmtId="4" fontId="2" fillId="4" borderId="0" xfId="0" applyNumberFormat="1" applyFont="1" applyFill="1"/>
    <xf numFmtId="4" fontId="7" fillId="2" borderId="0" xfId="0" applyNumberFormat="1" applyFont="1" applyFill="1" applyAlignment="1">
      <alignment vertical="top" wrapText="1"/>
    </xf>
    <xf numFmtId="0" fontId="0" fillId="0" borderId="0" xfId="0" applyAlignment="1">
      <alignment horizontal="right" wrapText="1"/>
    </xf>
    <xf numFmtId="0" fontId="3" fillId="0" borderId="0" xfId="0" applyFont="1" applyFill="1" applyAlignment="1">
      <alignment horizontal="right" vertical="top"/>
    </xf>
    <xf numFmtId="0" fontId="7" fillId="0" borderId="0" xfId="0" applyFont="1" applyFill="1" applyAlignment="1">
      <alignment horizontal="left" vertical="top"/>
    </xf>
    <xf numFmtId="49" fontId="7" fillId="0" borderId="0" xfId="0" applyNumberFormat="1" applyFont="1" applyFill="1" applyAlignment="1">
      <alignment vertical="top" wrapText="1"/>
    </xf>
    <xf numFmtId="49" fontId="7" fillId="0" borderId="0" xfId="0" applyNumberFormat="1" applyFont="1" applyFill="1" applyAlignment="1">
      <alignment vertical="top"/>
    </xf>
    <xf numFmtId="0" fontId="7" fillId="0" borderId="0" xfId="0" applyFont="1" applyFill="1" applyAlignment="1">
      <alignment vertical="top" wrapText="1"/>
    </xf>
    <xf numFmtId="164" fontId="7" fillId="0" borderId="0" xfId="0" applyNumberFormat="1" applyFont="1" applyFill="1" applyAlignment="1">
      <alignment vertical="top" wrapText="1"/>
    </xf>
    <xf numFmtId="4" fontId="7" fillId="0" borderId="0" xfId="0" applyNumberFormat="1" applyFont="1" applyFill="1" applyAlignment="1">
      <alignment vertical="top" wrapText="1"/>
    </xf>
    <xf numFmtId="165" fontId="7" fillId="0" borderId="0" xfId="0" applyNumberFormat="1" applyFont="1" applyFill="1" applyAlignment="1" applyProtection="1">
      <alignment vertical="top"/>
      <protection locked="0"/>
    </xf>
    <xf numFmtId="4" fontId="7" fillId="0" borderId="0" xfId="0" applyNumberFormat="1" applyFont="1" applyFill="1" applyAlignment="1">
      <alignment vertical="top"/>
    </xf>
    <xf numFmtId="165" fontId="7" fillId="0" borderId="0" xfId="0" applyNumberFormat="1" applyFont="1" applyFill="1" applyAlignment="1">
      <alignment horizontal="right" vertical="top"/>
    </xf>
    <xf numFmtId="0" fontId="3" fillId="0" borderId="0" xfId="0" applyFont="1" applyFill="1" applyAlignment="1">
      <alignment vertical="top"/>
    </xf>
    <xf numFmtId="0" fontId="8" fillId="2" borderId="0" xfId="0" applyFont="1" applyFill="1" applyAlignment="1">
      <alignment vertical="top"/>
    </xf>
    <xf numFmtId="0" fontId="0" fillId="0" borderId="0" xfId="0" applyAlignment="1">
      <alignment horizontal="right"/>
    </xf>
    <xf numFmtId="0" fontId="9" fillId="2" borderId="0" xfId="0" applyFont="1" applyFill="1" applyAlignment="1">
      <alignment horizontal="right" vertical="top"/>
    </xf>
    <xf numFmtId="0" fontId="10" fillId="2" borderId="0" xfId="0" applyFont="1" applyFill="1" applyAlignment="1">
      <alignment horizontal="left" vertical="top"/>
    </xf>
    <xf numFmtId="49" fontId="10" fillId="2" borderId="0" xfId="0" applyNumberFormat="1" applyFont="1" applyFill="1" applyAlignment="1">
      <alignment vertical="top" wrapText="1"/>
    </xf>
    <xf numFmtId="49" fontId="10" fillId="2" borderId="0" xfId="0" applyNumberFormat="1" applyFont="1" applyFill="1" applyAlignment="1">
      <alignment vertical="top"/>
    </xf>
    <xf numFmtId="0" fontId="10" fillId="2" borderId="0" xfId="0" applyFont="1" applyFill="1" applyAlignment="1">
      <alignment vertical="top" wrapText="1"/>
    </xf>
    <xf numFmtId="164" fontId="10" fillId="2" borderId="0" xfId="0" applyNumberFormat="1" applyFont="1" applyFill="1" applyAlignment="1">
      <alignment vertical="top" wrapText="1"/>
    </xf>
    <xf numFmtId="4" fontId="10" fillId="2" borderId="0" xfId="0" applyNumberFormat="1" applyFont="1" applyFill="1" applyAlignment="1">
      <alignment vertical="top" wrapText="1"/>
    </xf>
    <xf numFmtId="165" fontId="10" fillId="2" borderId="0" xfId="0" applyNumberFormat="1" applyFont="1" applyFill="1" applyAlignment="1" applyProtection="1">
      <alignment vertical="top"/>
      <protection locked="0"/>
    </xf>
    <xf numFmtId="4" fontId="10" fillId="2" borderId="0" xfId="0" applyNumberFormat="1" applyFont="1" applyFill="1" applyAlignment="1">
      <alignment vertical="top"/>
    </xf>
    <xf numFmtId="165" fontId="10" fillId="2" borderId="0" xfId="0" applyNumberFormat="1" applyFont="1" applyFill="1" applyAlignment="1">
      <alignment horizontal="right" vertical="top"/>
    </xf>
    <xf numFmtId="0" fontId="0" fillId="0" borderId="0" xfId="0" applyFill="1"/>
    <xf numFmtId="0" fontId="0" fillId="0" borderId="0" xfId="0" applyFill="1" applyAlignment="1">
      <alignment wrapText="1"/>
    </xf>
    <xf numFmtId="4" fontId="0" fillId="0" borderId="0" xfId="0" applyNumberFormat="1" applyFill="1"/>
    <xf numFmtId="0" fontId="2" fillId="0" borderId="0" xfId="0" applyFont="1" applyAlignment="1">
      <alignment horizontal="left" vertical="top"/>
    </xf>
    <xf numFmtId="0" fontId="1"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4"/>
  <sheetViews>
    <sheetView tabSelected="1" view="pageBreakPreview" zoomScaleNormal="100" zoomScaleSheetLayoutView="100" workbookViewId="0">
      <pane ySplit="4" topLeftCell="A5" activePane="bottomLeft" state="frozen"/>
      <selection pane="bottomLeft" activeCell="L296" sqref="L296"/>
    </sheetView>
  </sheetViews>
  <sheetFormatPr baseColWidth="10" defaultColWidth="8.85546875" defaultRowHeight="15" x14ac:dyDescent="0.25"/>
  <cols>
    <col min="2" max="2" width="4.140625" customWidth="1"/>
    <col min="3" max="3" width="8.140625" customWidth="1"/>
    <col min="4" max="4" width="4.5703125" customWidth="1"/>
    <col min="5" max="5" width="58.140625" style="32" customWidth="1"/>
    <col min="6" max="8" width="6.85546875" customWidth="1"/>
    <col min="9" max="9" width="6.85546875" style="24" customWidth="1"/>
    <col min="10" max="12" width="12.28515625" customWidth="1"/>
  </cols>
  <sheetData>
    <row r="1" spans="1:12" s="2" customFormat="1" ht="12" x14ac:dyDescent="0.25">
      <c r="A1" s="1"/>
      <c r="B1" s="64" t="s">
        <v>16</v>
      </c>
      <c r="C1" s="64"/>
      <c r="D1" s="64"/>
      <c r="E1" s="64"/>
      <c r="F1" s="64"/>
      <c r="G1" s="64"/>
      <c r="H1" s="64"/>
      <c r="I1" s="64"/>
      <c r="J1" s="64"/>
      <c r="K1" s="64"/>
      <c r="L1" s="64"/>
    </row>
    <row r="2" spans="1:12" s="2" customFormat="1" ht="12" x14ac:dyDescent="0.25">
      <c r="A2" s="1"/>
      <c r="B2" s="3" t="s">
        <v>0</v>
      </c>
      <c r="C2" s="3"/>
      <c r="D2" s="3"/>
      <c r="E2" s="4"/>
      <c r="G2" s="3"/>
      <c r="H2" s="3"/>
      <c r="I2" s="33"/>
      <c r="J2" s="3"/>
      <c r="K2" s="3"/>
      <c r="L2" s="3"/>
    </row>
    <row r="3" spans="1:12" s="2" customFormat="1" ht="12" x14ac:dyDescent="0.25">
      <c r="A3" s="1"/>
      <c r="B3" s="3" t="s">
        <v>17</v>
      </c>
      <c r="C3" s="3"/>
      <c r="D3" s="3"/>
      <c r="E3" s="4"/>
      <c r="F3" s="3"/>
      <c r="G3" s="3"/>
      <c r="H3" s="3"/>
      <c r="I3" s="33"/>
      <c r="J3" s="3"/>
      <c r="K3" s="3"/>
      <c r="L3" s="3"/>
    </row>
    <row r="4" spans="1:12" s="2" customFormat="1" ht="29.25" customHeight="1" x14ac:dyDescent="0.25">
      <c r="A4" s="5" t="s">
        <v>1</v>
      </c>
      <c r="B4" s="6" t="s">
        <v>2</v>
      </c>
      <c r="C4" s="5" t="s">
        <v>3</v>
      </c>
      <c r="D4" s="5" t="s">
        <v>4</v>
      </c>
      <c r="E4" s="6" t="s">
        <v>5</v>
      </c>
      <c r="F4" s="7"/>
      <c r="G4" s="7"/>
      <c r="H4" s="7"/>
      <c r="I4" s="34"/>
      <c r="J4" s="8" t="s">
        <v>6</v>
      </c>
      <c r="K4" s="9" t="s">
        <v>7</v>
      </c>
      <c r="L4" s="10" t="s">
        <v>8</v>
      </c>
    </row>
    <row r="6" spans="1:12" s="11" customFormat="1" ht="12" x14ac:dyDescent="0.2">
      <c r="D6" s="11">
        <v>1</v>
      </c>
      <c r="E6" s="30" t="s">
        <v>9</v>
      </c>
      <c r="F6" s="12"/>
      <c r="G6" s="12"/>
      <c r="H6" s="12"/>
      <c r="I6" s="35"/>
      <c r="L6" s="13">
        <v>14234.5</v>
      </c>
    </row>
    <row r="8" spans="1:12" s="23" customFormat="1" ht="84" x14ac:dyDescent="0.25">
      <c r="A8" s="14">
        <f>$D$6</f>
        <v>1</v>
      </c>
      <c r="B8" s="15">
        <f>B6+1</f>
        <v>1</v>
      </c>
      <c r="C8" s="16" t="s">
        <v>20</v>
      </c>
      <c r="D8" s="17" t="s">
        <v>28</v>
      </c>
      <c r="E8" s="31" t="s">
        <v>19</v>
      </c>
      <c r="F8" s="19"/>
      <c r="G8" s="19"/>
      <c r="H8" s="19"/>
      <c r="I8" s="36"/>
      <c r="J8" s="20">
        <f>6.9*1.1</f>
        <v>7.5900000000000007</v>
      </c>
      <c r="K8" s="21">
        <f>SUM(I9:I12)</f>
        <v>81.86</v>
      </c>
      <c r="L8" s="22">
        <f>J8*K8</f>
        <v>621.31740000000002</v>
      </c>
    </row>
    <row r="10" spans="1:12" x14ac:dyDescent="0.25">
      <c r="E10" s="32" t="s">
        <v>21</v>
      </c>
      <c r="I10" s="24">
        <v>81.86</v>
      </c>
    </row>
    <row r="13" spans="1:12" s="23" customFormat="1" ht="84" x14ac:dyDescent="0.25">
      <c r="A13" s="14">
        <f>$D$6</f>
        <v>1</v>
      </c>
      <c r="B13" s="15">
        <f>B8+1</f>
        <v>2</v>
      </c>
      <c r="C13" s="16" t="s">
        <v>20</v>
      </c>
      <c r="D13" s="17" t="s">
        <v>28</v>
      </c>
      <c r="E13" s="31" t="s">
        <v>26</v>
      </c>
      <c r="F13" s="19"/>
      <c r="G13" s="19"/>
      <c r="H13" s="19"/>
      <c r="I13" s="36"/>
      <c r="J13" s="20">
        <f>8.9*1.1</f>
        <v>9.7900000000000009</v>
      </c>
      <c r="K13" s="21">
        <f>SUM(I14:I16)</f>
        <v>8.26</v>
      </c>
      <c r="L13" s="22">
        <f>J13*K13</f>
        <v>80.865400000000008</v>
      </c>
    </row>
    <row r="15" spans="1:12" x14ac:dyDescent="0.25">
      <c r="E15" s="32" t="s">
        <v>22</v>
      </c>
      <c r="I15" s="24">
        <v>8.26</v>
      </c>
    </row>
    <row r="17" spans="1:12" s="23" customFormat="1" ht="72" x14ac:dyDescent="0.25">
      <c r="A17" s="14">
        <f>$D$6</f>
        <v>1</v>
      </c>
      <c r="B17" s="15">
        <f>B13+1</f>
        <v>3</v>
      </c>
      <c r="C17" s="16" t="s">
        <v>24</v>
      </c>
      <c r="D17" s="17" t="s">
        <v>28</v>
      </c>
      <c r="E17" s="18" t="s">
        <v>23</v>
      </c>
      <c r="F17" s="19"/>
      <c r="G17" s="19"/>
      <c r="H17" s="19"/>
      <c r="I17" s="36"/>
      <c r="J17" s="20">
        <f>9.42*1.1</f>
        <v>10.362</v>
      </c>
      <c r="K17" s="21">
        <f>SUM(I18:I21)</f>
        <v>94.36</v>
      </c>
      <c r="L17" s="22">
        <f>J17*K17</f>
        <v>977.75832000000003</v>
      </c>
    </row>
    <row r="19" spans="1:12" x14ac:dyDescent="0.25">
      <c r="E19" s="32" t="s">
        <v>22</v>
      </c>
      <c r="I19" s="24">
        <v>78.41</v>
      </c>
    </row>
    <row r="20" spans="1:12" x14ac:dyDescent="0.25">
      <c r="E20" s="32" t="s">
        <v>21</v>
      </c>
      <c r="I20" s="24">
        <v>15.95</v>
      </c>
    </row>
    <row r="22" spans="1:12" s="23" customFormat="1" ht="72" x14ac:dyDescent="0.25">
      <c r="A22" s="14">
        <f>$D$6</f>
        <v>1</v>
      </c>
      <c r="B22" s="15">
        <f>B17+1</f>
        <v>4</v>
      </c>
      <c r="C22" s="16" t="s">
        <v>24</v>
      </c>
      <c r="D22" s="17" t="s">
        <v>28</v>
      </c>
      <c r="E22" s="18" t="s">
        <v>25</v>
      </c>
      <c r="F22" s="19"/>
      <c r="G22" s="19"/>
      <c r="H22" s="19"/>
      <c r="I22" s="36"/>
      <c r="J22" s="20">
        <f>11.42*1.1</f>
        <v>12.562000000000001</v>
      </c>
      <c r="K22" s="21">
        <f>SUM(I23:I26)</f>
        <v>47.78</v>
      </c>
      <c r="L22" s="22">
        <f>J22*K22</f>
        <v>600.2123600000001</v>
      </c>
    </row>
    <row r="24" spans="1:12" x14ac:dyDescent="0.25">
      <c r="E24" s="32" t="s">
        <v>21</v>
      </c>
      <c r="I24" s="24">
        <v>47.78</v>
      </c>
    </row>
    <row r="27" spans="1:12" s="23" customFormat="1" ht="60" x14ac:dyDescent="0.25">
      <c r="A27" s="14">
        <f>$D$6</f>
        <v>1</v>
      </c>
      <c r="B27" s="15">
        <f>B22+1</f>
        <v>5</v>
      </c>
      <c r="C27" s="16" t="s">
        <v>27</v>
      </c>
      <c r="D27" s="17" t="s">
        <v>28</v>
      </c>
      <c r="E27" s="18" t="s">
        <v>29</v>
      </c>
      <c r="F27" s="19"/>
      <c r="G27" s="19"/>
      <c r="H27" s="19"/>
      <c r="I27" s="36"/>
      <c r="J27" s="20">
        <f>10.82*1.1</f>
        <v>11.902000000000001</v>
      </c>
      <c r="K27" s="21">
        <f>SUM(I28:I32)</f>
        <v>172.48</v>
      </c>
      <c r="L27" s="22">
        <f>J27*K27</f>
        <v>2052.8569600000001</v>
      </c>
    </row>
    <row r="28" spans="1:12" x14ac:dyDescent="0.25">
      <c r="J28" s="20"/>
    </row>
    <row r="29" spans="1:12" x14ac:dyDescent="0.25">
      <c r="E29" s="32" t="s">
        <v>22</v>
      </c>
      <c r="I29" s="24">
        <v>88.67</v>
      </c>
    </row>
    <row r="30" spans="1:12" x14ac:dyDescent="0.25">
      <c r="E30" s="32" t="s">
        <v>21</v>
      </c>
      <c r="I30" s="24">
        <v>78.36</v>
      </c>
    </row>
    <row r="31" spans="1:12" s="61" customFormat="1" x14ac:dyDescent="0.25">
      <c r="E31" s="62" t="s">
        <v>204</v>
      </c>
      <c r="I31" s="63">
        <v>5.45</v>
      </c>
    </row>
    <row r="34" spans="1:12" s="23" customFormat="1" ht="120" x14ac:dyDescent="0.25">
      <c r="A34" s="14">
        <f>$D$6</f>
        <v>1</v>
      </c>
      <c r="B34" s="15">
        <f>B27+1</f>
        <v>6</v>
      </c>
      <c r="C34" s="17" t="s">
        <v>31</v>
      </c>
      <c r="D34" s="17" t="s">
        <v>28</v>
      </c>
      <c r="E34" s="18" t="s">
        <v>30</v>
      </c>
      <c r="F34" s="19"/>
      <c r="G34" s="19"/>
      <c r="H34" s="19"/>
      <c r="I34" s="19"/>
      <c r="J34" s="20">
        <f>8.09*1.1</f>
        <v>8.8990000000000009</v>
      </c>
      <c r="K34" s="21">
        <f>SUM(I35:I40)</f>
        <v>244.82999999999998</v>
      </c>
      <c r="L34" s="22">
        <f>J34*K34</f>
        <v>2178.74217</v>
      </c>
    </row>
    <row r="36" spans="1:12" x14ac:dyDescent="0.25">
      <c r="E36" s="32" t="s">
        <v>34</v>
      </c>
      <c r="I36" s="24">
        <f>I29</f>
        <v>88.67</v>
      </c>
    </row>
    <row r="37" spans="1:12" x14ac:dyDescent="0.25">
      <c r="E37" s="32" t="s">
        <v>33</v>
      </c>
      <c r="I37" s="24">
        <v>78.36</v>
      </c>
    </row>
    <row r="38" spans="1:12" x14ac:dyDescent="0.25">
      <c r="E38" s="32" t="s">
        <v>32</v>
      </c>
      <c r="I38" s="24">
        <v>72.349999999999994</v>
      </c>
    </row>
    <row r="39" spans="1:12" s="61" customFormat="1" x14ac:dyDescent="0.25">
      <c r="E39" s="62" t="s">
        <v>204</v>
      </c>
      <c r="I39" s="63">
        <v>5.45</v>
      </c>
    </row>
    <row r="41" spans="1:12" s="23" customFormat="1" ht="60" x14ac:dyDescent="0.25">
      <c r="A41" s="14">
        <f>$D$6</f>
        <v>1</v>
      </c>
      <c r="B41" s="15">
        <f>B34+1</f>
        <v>7</v>
      </c>
      <c r="C41" s="16" t="s">
        <v>36</v>
      </c>
      <c r="D41" s="17" t="s">
        <v>28</v>
      </c>
      <c r="E41" s="18" t="s">
        <v>35</v>
      </c>
      <c r="F41" s="19"/>
      <c r="G41" s="19"/>
      <c r="H41" s="19"/>
      <c r="I41" s="36"/>
      <c r="J41" s="20">
        <f>68.29*1.1</f>
        <v>75.119000000000014</v>
      </c>
      <c r="K41" s="21">
        <f>SUM(I42:I46)</f>
        <v>2.9250000000000003</v>
      </c>
      <c r="L41" s="22">
        <f>J41*K41</f>
        <v>219.72307500000005</v>
      </c>
    </row>
    <row r="42" spans="1:12" x14ac:dyDescent="0.25">
      <c r="F42" t="s">
        <v>38</v>
      </c>
      <c r="G42" t="s">
        <v>39</v>
      </c>
    </row>
    <row r="43" spans="1:12" x14ac:dyDescent="0.25">
      <c r="E43" s="32" t="s">
        <v>37</v>
      </c>
      <c r="F43">
        <v>3.5</v>
      </c>
      <c r="G43">
        <v>0.3</v>
      </c>
      <c r="I43" s="24">
        <f>F43*G43</f>
        <v>1.05</v>
      </c>
    </row>
    <row r="44" spans="1:12" x14ac:dyDescent="0.25">
      <c r="F44">
        <v>2.5</v>
      </c>
      <c r="G44">
        <v>0.3</v>
      </c>
      <c r="I44" s="24">
        <f t="shared" ref="I44:I46" si="0">F44*G44</f>
        <v>0.75</v>
      </c>
    </row>
    <row r="45" spans="1:12" x14ac:dyDescent="0.25">
      <c r="F45">
        <v>1.75</v>
      </c>
      <c r="G45">
        <v>0.3</v>
      </c>
      <c r="I45" s="24">
        <f t="shared" si="0"/>
        <v>0.52500000000000002</v>
      </c>
    </row>
    <row r="46" spans="1:12" x14ac:dyDescent="0.25">
      <c r="F46">
        <v>2</v>
      </c>
      <c r="G46">
        <v>0.3</v>
      </c>
      <c r="I46" s="24">
        <f t="shared" si="0"/>
        <v>0.6</v>
      </c>
    </row>
    <row r="48" spans="1:12" s="23" customFormat="1" ht="60" x14ac:dyDescent="0.25">
      <c r="A48" s="14">
        <f>$D$6</f>
        <v>1</v>
      </c>
      <c r="B48" s="15">
        <f>B41+1</f>
        <v>8</v>
      </c>
      <c r="C48" s="16" t="s">
        <v>41</v>
      </c>
      <c r="D48" s="17" t="s">
        <v>28</v>
      </c>
      <c r="E48" s="18" t="s">
        <v>40</v>
      </c>
      <c r="F48" s="19"/>
      <c r="G48" s="19"/>
      <c r="H48" s="19"/>
      <c r="I48" s="36"/>
      <c r="J48" s="20">
        <f>9.32*1.1</f>
        <v>10.252000000000001</v>
      </c>
      <c r="K48" s="21">
        <f>SUM(I49:I51)</f>
        <v>7.5</v>
      </c>
      <c r="L48" s="22">
        <f>J48*K48</f>
        <v>76.89</v>
      </c>
    </row>
    <row r="49" spans="1:12" x14ac:dyDescent="0.25">
      <c r="F49" t="s">
        <v>38</v>
      </c>
      <c r="G49" t="s">
        <v>39</v>
      </c>
    </row>
    <row r="50" spans="1:12" x14ac:dyDescent="0.25">
      <c r="F50">
        <v>15</v>
      </c>
      <c r="G50">
        <v>0.5</v>
      </c>
      <c r="I50" s="24">
        <f t="shared" ref="I50" si="1">F50*G50</f>
        <v>7.5</v>
      </c>
    </row>
    <row r="52" spans="1:12" s="23" customFormat="1" ht="48" x14ac:dyDescent="0.25">
      <c r="A52" s="14">
        <f>$D$6</f>
        <v>1</v>
      </c>
      <c r="B52" s="15">
        <f>B48+1</f>
        <v>9</v>
      </c>
      <c r="C52" s="16" t="s">
        <v>42</v>
      </c>
      <c r="D52" s="17" t="s">
        <v>43</v>
      </c>
      <c r="E52" s="18" t="s">
        <v>45</v>
      </c>
      <c r="F52" s="19"/>
      <c r="G52" s="19"/>
      <c r="H52" s="19"/>
      <c r="I52" s="36"/>
      <c r="J52" s="20">
        <f>75.28*1.1</f>
        <v>82.808000000000007</v>
      </c>
      <c r="K52" s="21">
        <f>SUM(I53:I55)</f>
        <v>3.75</v>
      </c>
      <c r="L52" s="22">
        <f>J52*K52</f>
        <v>310.53000000000003</v>
      </c>
    </row>
    <row r="53" spans="1:12" x14ac:dyDescent="0.25">
      <c r="F53" t="s">
        <v>38</v>
      </c>
      <c r="G53" t="s">
        <v>39</v>
      </c>
      <c r="H53" t="s">
        <v>44</v>
      </c>
    </row>
    <row r="54" spans="1:12" x14ac:dyDescent="0.25">
      <c r="F54">
        <v>15</v>
      </c>
      <c r="G54">
        <v>0.5</v>
      </c>
      <c r="H54">
        <v>0.5</v>
      </c>
      <c r="I54" s="24">
        <f>F54*G54*H54</f>
        <v>3.75</v>
      </c>
    </row>
    <row r="56" spans="1:12" s="49" customFormat="1" ht="60" x14ac:dyDescent="0.25">
      <c r="A56" s="51">
        <f>$D$6</f>
        <v>1</v>
      </c>
      <c r="B56" s="52">
        <f>B52+1</f>
        <v>10</v>
      </c>
      <c r="C56" s="53" t="s">
        <v>47</v>
      </c>
      <c r="D56" s="54" t="s">
        <v>28</v>
      </c>
      <c r="E56" s="55" t="s">
        <v>54</v>
      </c>
      <c r="F56" s="56"/>
      <c r="G56" s="56"/>
      <c r="H56" s="56"/>
      <c r="I56" s="57"/>
      <c r="J56" s="58">
        <f>2.11*1.1</f>
        <v>2.3210000000000002</v>
      </c>
      <c r="K56" s="59">
        <f>SUM(I57:I60)</f>
        <v>767.54</v>
      </c>
      <c r="L56" s="60">
        <f>J56*K56</f>
        <v>1781.4603400000001</v>
      </c>
    </row>
    <row r="58" spans="1:12" x14ac:dyDescent="0.25">
      <c r="E58" s="32" t="s">
        <v>48</v>
      </c>
      <c r="I58" s="24">
        <v>397.18</v>
      </c>
    </row>
    <row r="59" spans="1:12" x14ac:dyDescent="0.25">
      <c r="E59" s="32" t="s">
        <v>49</v>
      </c>
      <c r="I59" s="24">
        <v>370.36</v>
      </c>
    </row>
    <row r="61" spans="1:12" s="23" customFormat="1" ht="60" x14ac:dyDescent="0.25">
      <c r="A61" s="14">
        <f>$D$6</f>
        <v>1</v>
      </c>
      <c r="B61" s="15">
        <f>B56+1</f>
        <v>11</v>
      </c>
      <c r="C61" s="16" t="s">
        <v>50</v>
      </c>
      <c r="D61" s="17" t="s">
        <v>28</v>
      </c>
      <c r="E61" s="18" t="s">
        <v>53</v>
      </c>
      <c r="F61" s="19"/>
      <c r="G61" s="19"/>
      <c r="H61" s="19"/>
      <c r="I61" s="36"/>
      <c r="J61" s="20">
        <f>12.7*1.1</f>
        <v>13.97</v>
      </c>
      <c r="K61" s="21">
        <v>70.87</v>
      </c>
      <c r="L61" s="22">
        <f>J61*K61</f>
        <v>990.05390000000011</v>
      </c>
    </row>
    <row r="63" spans="1:12" s="23" customFormat="1" ht="96" x14ac:dyDescent="0.25">
      <c r="A63" s="14">
        <f>$D$6</f>
        <v>1</v>
      </c>
      <c r="B63" s="15">
        <f>B61+1</f>
        <v>12</v>
      </c>
      <c r="C63" s="16" t="s">
        <v>51</v>
      </c>
      <c r="D63" s="17" t="s">
        <v>28</v>
      </c>
      <c r="E63" s="18" t="s">
        <v>55</v>
      </c>
      <c r="F63" s="19"/>
      <c r="G63" s="19"/>
      <c r="H63" s="19"/>
      <c r="I63" s="36"/>
      <c r="J63" s="20">
        <f>10.41*1.1</f>
        <v>11.451000000000001</v>
      </c>
      <c r="K63" s="21">
        <f>SUM(I64:I67)</f>
        <v>251.98000000000002</v>
      </c>
      <c r="L63" s="22">
        <f>J63*K63</f>
        <v>2885.4229800000003</v>
      </c>
    </row>
    <row r="65" spans="1:12" x14ac:dyDescent="0.25">
      <c r="E65" s="32" t="s">
        <v>52</v>
      </c>
      <c r="I65" s="24">
        <v>100.52</v>
      </c>
    </row>
    <row r="66" spans="1:12" x14ac:dyDescent="0.25">
      <c r="E66" s="32" t="s">
        <v>48</v>
      </c>
      <c r="I66" s="24">
        <v>151.46</v>
      </c>
    </row>
    <row r="68" spans="1:12" s="23" customFormat="1" ht="36" x14ac:dyDescent="0.25">
      <c r="A68" s="14">
        <f t="shared" ref="A68" si="2">$D$6</f>
        <v>1</v>
      </c>
      <c r="B68" s="15">
        <f>B63+1</f>
        <v>13</v>
      </c>
      <c r="C68" s="16" t="s">
        <v>57</v>
      </c>
      <c r="D68" s="17" t="s">
        <v>58</v>
      </c>
      <c r="E68" s="18" t="s">
        <v>56</v>
      </c>
      <c r="F68" s="19"/>
      <c r="G68" s="19"/>
      <c r="H68" s="19"/>
      <c r="I68" s="36"/>
      <c r="J68" s="20">
        <f>151.91*1.1</f>
        <v>167.101</v>
      </c>
      <c r="K68" s="21">
        <f>SUM(I69:I72)</f>
        <v>0.92700000000000005</v>
      </c>
      <c r="L68" s="22">
        <f>J68*K68</f>
        <v>154.902627</v>
      </c>
    </row>
    <row r="70" spans="1:12" x14ac:dyDescent="0.25">
      <c r="E70" s="32" t="s">
        <v>59</v>
      </c>
      <c r="G70">
        <v>3.68</v>
      </c>
      <c r="H70">
        <v>0.15</v>
      </c>
      <c r="I70" s="24">
        <f>G70*H70</f>
        <v>0.55200000000000005</v>
      </c>
    </row>
    <row r="71" spans="1:12" x14ac:dyDescent="0.25">
      <c r="E71" s="32" t="s">
        <v>60</v>
      </c>
      <c r="G71">
        <v>2.5</v>
      </c>
      <c r="H71">
        <v>0.15</v>
      </c>
      <c r="I71" s="24">
        <f>G71*H71</f>
        <v>0.375</v>
      </c>
    </row>
    <row r="73" spans="1:12" s="23" customFormat="1" ht="72" x14ac:dyDescent="0.25">
      <c r="A73" s="14">
        <f t="shared" ref="A73" si="3">$D$6</f>
        <v>1</v>
      </c>
      <c r="B73" s="15">
        <f t="shared" ref="B73" si="4">B68+1</f>
        <v>14</v>
      </c>
      <c r="C73" s="16" t="s">
        <v>62</v>
      </c>
      <c r="D73" s="17" t="s">
        <v>28</v>
      </c>
      <c r="E73" s="18" t="s">
        <v>61</v>
      </c>
      <c r="F73" s="19"/>
      <c r="G73" s="19"/>
      <c r="H73" s="19"/>
      <c r="I73" s="36"/>
      <c r="J73" s="20">
        <f>31.04*1.1</f>
        <v>34.143999999999998</v>
      </c>
      <c r="K73" s="21">
        <v>3</v>
      </c>
      <c r="L73" s="22">
        <f>J73*K73</f>
        <v>102.43199999999999</v>
      </c>
    </row>
    <row r="75" spans="1:12" s="23" customFormat="1" ht="120" x14ac:dyDescent="0.25">
      <c r="A75" s="14">
        <f>$D$6</f>
        <v>1</v>
      </c>
      <c r="B75" s="15">
        <f>B73+1</f>
        <v>15</v>
      </c>
      <c r="C75" s="16" t="s">
        <v>64</v>
      </c>
      <c r="D75" s="17" t="s">
        <v>28</v>
      </c>
      <c r="E75" s="18" t="s">
        <v>63</v>
      </c>
      <c r="F75" s="19"/>
      <c r="G75" s="19"/>
      <c r="H75" s="19"/>
      <c r="I75" s="36"/>
      <c r="J75" s="20">
        <f>7.22*1.1</f>
        <v>7.9420000000000002</v>
      </c>
      <c r="K75" s="21">
        <v>3</v>
      </c>
      <c r="L75" s="22">
        <f>J75*K75</f>
        <v>23.826000000000001</v>
      </c>
    </row>
    <row r="77" spans="1:12" s="23" customFormat="1" ht="72" x14ac:dyDescent="0.25">
      <c r="A77" s="14">
        <f>$D$6</f>
        <v>1</v>
      </c>
      <c r="B77" s="15">
        <f>B75+1</f>
        <v>16</v>
      </c>
      <c r="C77" s="16" t="s">
        <v>65</v>
      </c>
      <c r="D77" s="17" t="s">
        <v>28</v>
      </c>
      <c r="E77" s="18" t="s">
        <v>66</v>
      </c>
      <c r="F77" s="19"/>
      <c r="G77" s="19"/>
      <c r="H77" s="19"/>
      <c r="I77" s="36"/>
      <c r="J77" s="20">
        <f>31.94*1.1</f>
        <v>35.134000000000007</v>
      </c>
      <c r="K77" s="21">
        <f>SUM(I78:I81)</f>
        <v>16.09</v>
      </c>
      <c r="L77" s="22">
        <f>J77*K77</f>
        <v>565.30606000000012</v>
      </c>
    </row>
    <row r="79" spans="1:12" x14ac:dyDescent="0.25">
      <c r="E79" s="37" t="s">
        <v>67</v>
      </c>
      <c r="I79" s="24">
        <v>11.59</v>
      </c>
    </row>
    <row r="80" spans="1:12" x14ac:dyDescent="0.25">
      <c r="E80" s="37" t="s">
        <v>68</v>
      </c>
      <c r="I80" s="24">
        <v>4.5</v>
      </c>
    </row>
    <row r="82" spans="1:12" s="48" customFormat="1" ht="60" x14ac:dyDescent="0.25">
      <c r="A82" s="38">
        <f>$D$6</f>
        <v>1</v>
      </c>
      <c r="B82" s="39">
        <f>B77+1</f>
        <v>17</v>
      </c>
      <c r="C82" s="40" t="s">
        <v>71</v>
      </c>
      <c r="D82" s="41" t="s">
        <v>73</v>
      </c>
      <c r="E82" s="42" t="s">
        <v>69</v>
      </c>
      <c r="F82" s="43"/>
      <c r="G82" s="43"/>
      <c r="H82" s="43"/>
      <c r="I82" s="44"/>
      <c r="J82" s="45">
        <f>10.08*1.1</f>
        <v>11.088000000000001</v>
      </c>
      <c r="K82" s="46">
        <v>2</v>
      </c>
      <c r="L82" s="47">
        <f>J82*K82</f>
        <v>22.176000000000002</v>
      </c>
    </row>
    <row r="84" spans="1:12" s="23" customFormat="1" ht="72" x14ac:dyDescent="0.25">
      <c r="A84" s="14">
        <f>$D$6</f>
        <v>1</v>
      </c>
      <c r="B84" s="15">
        <f>B82+1</f>
        <v>18</v>
      </c>
      <c r="C84" s="16" t="s">
        <v>71</v>
      </c>
      <c r="D84" s="17" t="s">
        <v>73</v>
      </c>
      <c r="E84" s="18" t="s">
        <v>70</v>
      </c>
      <c r="F84" s="19"/>
      <c r="G84" s="19"/>
      <c r="H84" s="19"/>
      <c r="I84" s="36"/>
      <c r="J84" s="20">
        <f>12.08*1.1</f>
        <v>13.288000000000002</v>
      </c>
      <c r="K84" s="21">
        <v>7</v>
      </c>
      <c r="L84" s="22">
        <f>J84*K84</f>
        <v>93.01600000000002</v>
      </c>
    </row>
    <row r="86" spans="1:12" s="23" customFormat="1" ht="72" x14ac:dyDescent="0.25">
      <c r="A86" s="14">
        <f t="shared" ref="A86" si="5">$D$6</f>
        <v>1</v>
      </c>
      <c r="B86" s="15">
        <f t="shared" ref="B86" si="6">B84+1</f>
        <v>19</v>
      </c>
      <c r="C86" s="16" t="s">
        <v>71</v>
      </c>
      <c r="D86" s="17" t="s">
        <v>73</v>
      </c>
      <c r="E86" s="18" t="s">
        <v>72</v>
      </c>
      <c r="F86" s="19"/>
      <c r="G86" s="19"/>
      <c r="H86" s="19"/>
      <c r="I86" s="36"/>
      <c r="J86" s="20">
        <f>15.29*1.1</f>
        <v>16.818999999999999</v>
      </c>
      <c r="K86" s="21">
        <v>0</v>
      </c>
      <c r="L86" s="22">
        <f>J86*K86</f>
        <v>0</v>
      </c>
    </row>
    <row r="88" spans="1:12" s="23" customFormat="1" ht="72" x14ac:dyDescent="0.25">
      <c r="A88" s="14">
        <f t="shared" ref="A88" si="7">$D$6</f>
        <v>1</v>
      </c>
      <c r="B88" s="15">
        <f t="shared" ref="B88" si="8">B86+1</f>
        <v>20</v>
      </c>
      <c r="C88" s="16" t="s">
        <v>71</v>
      </c>
      <c r="D88" s="17" t="s">
        <v>73</v>
      </c>
      <c r="E88" s="18" t="s">
        <v>74</v>
      </c>
      <c r="F88" s="19"/>
      <c r="G88" s="19"/>
      <c r="H88" s="19"/>
      <c r="I88" s="36"/>
      <c r="J88" s="20">
        <f>10.08*1.1</f>
        <v>11.088000000000001</v>
      </c>
      <c r="K88" s="21">
        <v>2</v>
      </c>
      <c r="L88" s="22">
        <f>J88*K88</f>
        <v>22.176000000000002</v>
      </c>
    </row>
    <row r="90" spans="1:12" s="23" customFormat="1" ht="72" x14ac:dyDescent="0.25">
      <c r="A90" s="14">
        <f>$D$6</f>
        <v>1</v>
      </c>
      <c r="B90" s="15">
        <f>B88+1</f>
        <v>21</v>
      </c>
      <c r="C90" s="16" t="s">
        <v>71</v>
      </c>
      <c r="D90" s="17" t="s">
        <v>73</v>
      </c>
      <c r="E90" s="18" t="s">
        <v>75</v>
      </c>
      <c r="F90" s="19"/>
      <c r="G90" s="19"/>
      <c r="H90" s="19"/>
      <c r="I90" s="36"/>
      <c r="J90" s="20">
        <f>10.08*1.1</f>
        <v>11.088000000000001</v>
      </c>
      <c r="K90" s="21">
        <v>1</v>
      </c>
      <c r="L90" s="22">
        <f>J90*K90</f>
        <v>11.088000000000001</v>
      </c>
    </row>
    <row r="92" spans="1:12" s="23" customFormat="1" ht="60" x14ac:dyDescent="0.25">
      <c r="A92" s="14">
        <f>$D$6</f>
        <v>1</v>
      </c>
      <c r="B92" s="15">
        <f>B90+1</f>
        <v>22</v>
      </c>
      <c r="C92" s="16" t="s">
        <v>71</v>
      </c>
      <c r="D92" s="17" t="s">
        <v>73</v>
      </c>
      <c r="E92" s="18" t="s">
        <v>79</v>
      </c>
      <c r="F92" s="19"/>
      <c r="G92" s="19"/>
      <c r="H92" s="19"/>
      <c r="I92" s="36"/>
      <c r="J92" s="20">
        <f>45.15*1.1</f>
        <v>49.664999999999999</v>
      </c>
      <c r="K92" s="21">
        <v>2</v>
      </c>
      <c r="L92" s="22">
        <f>J92*K92</f>
        <v>99.33</v>
      </c>
    </row>
    <row r="94" spans="1:12" s="23" customFormat="1" ht="60" x14ac:dyDescent="0.25">
      <c r="A94" s="14">
        <f t="shared" ref="A94" si="9">$D$6</f>
        <v>1</v>
      </c>
      <c r="B94" s="15">
        <f t="shared" ref="B94" si="10">B92+1</f>
        <v>23</v>
      </c>
      <c r="C94" s="16" t="s">
        <v>71</v>
      </c>
      <c r="D94" s="17" t="s">
        <v>73</v>
      </c>
      <c r="E94" s="18" t="s">
        <v>76</v>
      </c>
      <c r="F94" s="19"/>
      <c r="G94" s="19"/>
      <c r="H94" s="19"/>
      <c r="I94" s="36"/>
      <c r="J94" s="20">
        <f>15.29*1.1</f>
        <v>16.818999999999999</v>
      </c>
      <c r="K94" s="21">
        <v>2</v>
      </c>
      <c r="L94" s="22">
        <f>J94*K94</f>
        <v>33.637999999999998</v>
      </c>
    </row>
    <row r="96" spans="1:12" s="23" customFormat="1" ht="12" x14ac:dyDescent="0.25">
      <c r="A96" s="14">
        <f t="shared" ref="A96" si="11">$D$6</f>
        <v>1</v>
      </c>
      <c r="B96" s="15">
        <f>B94+1</f>
        <v>24</v>
      </c>
      <c r="C96" s="16"/>
      <c r="D96" s="17" t="s">
        <v>120</v>
      </c>
      <c r="E96" s="18" t="s">
        <v>121</v>
      </c>
      <c r="F96" s="19"/>
      <c r="G96" s="19"/>
      <c r="H96" s="19"/>
      <c r="I96" s="36"/>
      <c r="J96" s="20">
        <f>300*1.1</f>
        <v>330</v>
      </c>
      <c r="K96" s="21">
        <v>1</v>
      </c>
      <c r="L96" s="22">
        <f>J96*K96</f>
        <v>330</v>
      </c>
    </row>
    <row r="98" spans="1:12" x14ac:dyDescent="0.25">
      <c r="E98" s="32" t="s">
        <v>122</v>
      </c>
    </row>
    <row r="99" spans="1:12" x14ac:dyDescent="0.25">
      <c r="E99" s="32" t="s">
        <v>123</v>
      </c>
    </row>
    <row r="100" spans="1:12" x14ac:dyDescent="0.25">
      <c r="E100" s="32" t="s">
        <v>125</v>
      </c>
    </row>
    <row r="101" spans="1:12" x14ac:dyDescent="0.25">
      <c r="E101" s="32" t="s">
        <v>124</v>
      </c>
    </row>
    <row r="103" spans="1:12" s="11" customFormat="1" ht="12" x14ac:dyDescent="0.2">
      <c r="D103" s="11">
        <v>2</v>
      </c>
      <c r="E103" s="30" t="s">
        <v>10</v>
      </c>
      <c r="F103" s="12"/>
      <c r="G103" s="12"/>
      <c r="H103" s="12"/>
      <c r="I103" s="35"/>
      <c r="L103" s="13">
        <f>SUM(L104:L114)</f>
        <v>221.98000000000002</v>
      </c>
    </row>
    <row r="105" spans="1:12" s="23" customFormat="1" ht="72" x14ac:dyDescent="0.25">
      <c r="A105" s="14">
        <f>$D$103</f>
        <v>2</v>
      </c>
      <c r="B105" s="15">
        <f>B103+1</f>
        <v>1</v>
      </c>
      <c r="C105" s="16" t="s">
        <v>86</v>
      </c>
      <c r="D105" s="17" t="s">
        <v>82</v>
      </c>
      <c r="E105" s="18" t="s">
        <v>83</v>
      </c>
      <c r="F105" s="19"/>
      <c r="G105" s="19"/>
      <c r="H105" s="19"/>
      <c r="I105" s="36"/>
      <c r="J105" s="20">
        <f>70.27*1.1</f>
        <v>77.296999999999997</v>
      </c>
      <c r="K105" s="21">
        <f>SUM(I106:I109)</f>
        <v>2</v>
      </c>
      <c r="L105" s="22">
        <f>J105*K105</f>
        <v>154.59399999999999</v>
      </c>
    </row>
    <row r="106" spans="1:12" ht="14.25" customHeight="1" x14ac:dyDescent="0.25"/>
    <row r="107" spans="1:12" x14ac:dyDescent="0.25">
      <c r="E107" s="32" t="s">
        <v>77</v>
      </c>
      <c r="I107" s="24">
        <v>1</v>
      </c>
    </row>
    <row r="108" spans="1:12" x14ac:dyDescent="0.25">
      <c r="E108" s="32" t="s">
        <v>78</v>
      </c>
      <c r="I108" s="24">
        <v>1</v>
      </c>
    </row>
    <row r="111" spans="1:12" s="23" customFormat="1" ht="60" x14ac:dyDescent="0.25">
      <c r="A111" s="14">
        <f>$D$103</f>
        <v>2</v>
      </c>
      <c r="B111" s="15">
        <f>B105+1</f>
        <v>2</v>
      </c>
      <c r="C111" s="16" t="s">
        <v>85</v>
      </c>
      <c r="D111" s="17" t="s">
        <v>82</v>
      </c>
      <c r="E111" s="18" t="s">
        <v>84</v>
      </c>
      <c r="F111" s="19"/>
      <c r="G111" s="19"/>
      <c r="H111" s="19"/>
      <c r="I111" s="36"/>
      <c r="J111" s="20">
        <f>15.03*1.1</f>
        <v>16.533000000000001</v>
      </c>
      <c r="K111" s="21">
        <v>1</v>
      </c>
      <c r="L111" s="22">
        <f>J111*K111</f>
        <v>16.533000000000001</v>
      </c>
    </row>
    <row r="113" spans="1:12" s="23" customFormat="1" ht="72" x14ac:dyDescent="0.25">
      <c r="A113" s="14">
        <f>$D$103</f>
        <v>2</v>
      </c>
      <c r="B113" s="15">
        <f>B111+1</f>
        <v>3</v>
      </c>
      <c r="C113" s="16" t="s">
        <v>81</v>
      </c>
      <c r="D113" s="17" t="s">
        <v>82</v>
      </c>
      <c r="E113" s="18" t="s">
        <v>80</v>
      </c>
      <c r="F113" s="19"/>
      <c r="G113" s="19"/>
      <c r="H113" s="19"/>
      <c r="I113" s="36"/>
      <c r="J113" s="20">
        <f>15.41*1.1</f>
        <v>16.951000000000001</v>
      </c>
      <c r="K113" s="21">
        <v>3</v>
      </c>
      <c r="L113" s="22">
        <f>J113*K113</f>
        <v>50.853000000000002</v>
      </c>
    </row>
    <row r="114" spans="1:12" ht="13.5" customHeight="1" x14ac:dyDescent="0.25"/>
    <row r="115" spans="1:12" s="11" customFormat="1" ht="12" x14ac:dyDescent="0.2">
      <c r="D115" s="11">
        <v>3</v>
      </c>
      <c r="E115" s="30" t="s">
        <v>88</v>
      </c>
      <c r="F115" s="12"/>
      <c r="G115" s="12"/>
      <c r="H115" s="12"/>
      <c r="I115" s="35"/>
      <c r="L115" s="13">
        <v>11865.53</v>
      </c>
    </row>
    <row r="117" spans="1:12" s="23" customFormat="1" ht="24" x14ac:dyDescent="0.25">
      <c r="A117" s="14">
        <f>$D$115</f>
        <v>3</v>
      </c>
      <c r="B117" s="15">
        <v>0</v>
      </c>
      <c r="C117" s="16"/>
      <c r="D117" s="17"/>
      <c r="E117" s="18" t="s">
        <v>119</v>
      </c>
      <c r="F117" s="19"/>
      <c r="G117" s="19"/>
      <c r="H117" s="19"/>
      <c r="I117" s="36"/>
      <c r="J117" s="20"/>
      <c r="K117" s="21"/>
      <c r="L117" s="22"/>
    </row>
    <row r="119" spans="1:12" s="23" customFormat="1" ht="132" x14ac:dyDescent="0.25">
      <c r="A119" s="14">
        <f>$D$115</f>
        <v>3</v>
      </c>
      <c r="B119" s="15">
        <f>B115+1</f>
        <v>1</v>
      </c>
      <c r="C119" s="16" t="s">
        <v>89</v>
      </c>
      <c r="D119" s="17" t="s">
        <v>28</v>
      </c>
      <c r="E119" s="18" t="s">
        <v>90</v>
      </c>
      <c r="F119" s="19"/>
      <c r="G119" s="19"/>
      <c r="H119" s="19"/>
      <c r="I119" s="36"/>
      <c r="J119" s="20">
        <f>29.82*1.1</f>
        <v>32.802</v>
      </c>
      <c r="K119" s="21">
        <f>SUM(I120:I127)</f>
        <v>65.549599999999998</v>
      </c>
      <c r="L119" s="22">
        <f>J119*K119</f>
        <v>2150.1579791999998</v>
      </c>
    </row>
    <row r="121" spans="1:12" x14ac:dyDescent="0.25">
      <c r="E121" s="32" t="s">
        <v>91</v>
      </c>
      <c r="F121">
        <v>6.84</v>
      </c>
      <c r="G121">
        <v>3.22</v>
      </c>
      <c r="I121" s="24">
        <f>F121*G121</f>
        <v>22.024800000000003</v>
      </c>
    </row>
    <row r="122" spans="1:12" x14ac:dyDescent="0.25">
      <c r="F122">
        <v>6.84</v>
      </c>
      <c r="G122">
        <v>3.22</v>
      </c>
      <c r="I122" s="24">
        <f>F122*G122</f>
        <v>22.024800000000003</v>
      </c>
    </row>
    <row r="123" spans="1:12" x14ac:dyDescent="0.25">
      <c r="E123" s="32" t="s">
        <v>92</v>
      </c>
      <c r="F123">
        <v>5</v>
      </c>
      <c r="G123">
        <v>2.5</v>
      </c>
      <c r="I123" s="24">
        <f t="shared" ref="I123:I126" si="12">F123*G123</f>
        <v>12.5</v>
      </c>
    </row>
    <row r="124" spans="1:12" x14ac:dyDescent="0.25">
      <c r="F124">
        <v>2</v>
      </c>
      <c r="G124">
        <v>2.5</v>
      </c>
      <c r="I124" s="24">
        <f t="shared" si="12"/>
        <v>5</v>
      </c>
    </row>
    <row r="125" spans="1:12" x14ac:dyDescent="0.25">
      <c r="F125">
        <v>0.8</v>
      </c>
      <c r="G125">
        <v>2.5</v>
      </c>
      <c r="I125" s="24">
        <f t="shared" si="12"/>
        <v>2</v>
      </c>
    </row>
    <row r="126" spans="1:12" x14ac:dyDescent="0.25">
      <c r="F126">
        <v>0.8</v>
      </c>
      <c r="G126">
        <v>2.5</v>
      </c>
      <c r="I126" s="24">
        <f t="shared" si="12"/>
        <v>2</v>
      </c>
    </row>
    <row r="128" spans="1:12" s="23" customFormat="1" ht="87.75" customHeight="1" x14ac:dyDescent="0.25">
      <c r="A128" s="14">
        <f>$D$115</f>
        <v>3</v>
      </c>
      <c r="B128" s="15">
        <f>B119+1</f>
        <v>2</v>
      </c>
      <c r="C128" s="16" t="s">
        <v>93</v>
      </c>
      <c r="D128" s="17" t="s">
        <v>28</v>
      </c>
      <c r="E128" s="18" t="s">
        <v>97</v>
      </c>
      <c r="F128" s="19"/>
      <c r="G128" s="19"/>
      <c r="H128" s="19"/>
      <c r="I128" s="36"/>
      <c r="J128" s="20">
        <f>55.31*1.1</f>
        <v>60.841000000000008</v>
      </c>
      <c r="K128" s="21">
        <f>SUM(I129:I131)</f>
        <v>11.200000000000001</v>
      </c>
      <c r="L128" s="22">
        <f>J128*K128</f>
        <v>681.41920000000016</v>
      </c>
    </row>
    <row r="130" spans="1:12" x14ac:dyDescent="0.25">
      <c r="E130" s="32" t="s">
        <v>96</v>
      </c>
      <c r="F130">
        <v>3.5</v>
      </c>
      <c r="G130">
        <v>3.2</v>
      </c>
      <c r="I130" s="24">
        <f t="shared" ref="I130" si="13">F130*G130</f>
        <v>11.200000000000001</v>
      </c>
    </row>
    <row r="132" spans="1:12" s="23" customFormat="1" ht="96" x14ac:dyDescent="0.25">
      <c r="A132" s="14">
        <f>$D$115</f>
        <v>3</v>
      </c>
      <c r="B132" s="15">
        <f>B128+1</f>
        <v>3</v>
      </c>
      <c r="C132" s="16" t="s">
        <v>93</v>
      </c>
      <c r="D132" s="17" t="s">
        <v>28</v>
      </c>
      <c r="E132" s="18" t="s">
        <v>95</v>
      </c>
      <c r="F132" s="19"/>
      <c r="G132" s="19"/>
      <c r="H132" s="19"/>
      <c r="I132" s="36"/>
      <c r="J132" s="20">
        <f>41.85*1.1</f>
        <v>46.035000000000004</v>
      </c>
      <c r="K132" s="21">
        <f>SUM(I133:I139)</f>
        <v>51.52</v>
      </c>
      <c r="L132" s="22">
        <f>J132*K132</f>
        <v>2371.7232000000004</v>
      </c>
    </row>
    <row r="133" spans="1:12" s="48" customFormat="1" ht="12" x14ac:dyDescent="0.25">
      <c r="A133" s="38"/>
      <c r="B133" s="39"/>
      <c r="C133" s="40"/>
      <c r="D133" s="41"/>
      <c r="E133" s="42"/>
      <c r="F133" s="43"/>
      <c r="G133" s="43"/>
      <c r="H133" s="43"/>
      <c r="I133" s="44"/>
      <c r="J133" s="45"/>
      <c r="K133" s="46"/>
      <c r="L133" s="47"/>
    </row>
    <row r="134" spans="1:12" x14ac:dyDescent="0.25">
      <c r="E134" s="32" t="s">
        <v>94</v>
      </c>
      <c r="F134">
        <v>3.3</v>
      </c>
      <c r="G134">
        <v>3.2</v>
      </c>
      <c r="I134" s="24">
        <f t="shared" ref="I134:I138" si="14">F134*G134</f>
        <v>10.56</v>
      </c>
    </row>
    <row r="135" spans="1:12" x14ac:dyDescent="0.25">
      <c r="F135">
        <v>3.3</v>
      </c>
      <c r="G135">
        <v>3.2</v>
      </c>
      <c r="I135" s="24">
        <f t="shared" si="14"/>
        <v>10.56</v>
      </c>
    </row>
    <row r="136" spans="1:12" x14ac:dyDescent="0.25">
      <c r="F136">
        <v>3.3</v>
      </c>
      <c r="G136">
        <v>3.2</v>
      </c>
      <c r="I136" s="24">
        <f t="shared" si="14"/>
        <v>10.56</v>
      </c>
    </row>
    <row r="137" spans="1:12" x14ac:dyDescent="0.25">
      <c r="F137">
        <v>3.2</v>
      </c>
      <c r="G137">
        <v>3.2</v>
      </c>
      <c r="I137" s="24">
        <f t="shared" si="14"/>
        <v>10.240000000000002</v>
      </c>
    </row>
    <row r="138" spans="1:12" x14ac:dyDescent="0.25">
      <c r="F138">
        <v>3</v>
      </c>
      <c r="G138">
        <v>3.2</v>
      </c>
      <c r="I138" s="24">
        <f t="shared" si="14"/>
        <v>9.6000000000000014</v>
      </c>
    </row>
    <row r="140" spans="1:12" s="23" customFormat="1" ht="240" x14ac:dyDescent="0.25">
      <c r="A140" s="14">
        <f>$D$115</f>
        <v>3</v>
      </c>
      <c r="B140" s="15">
        <f>B132+1</f>
        <v>4</v>
      </c>
      <c r="C140" s="16" t="s">
        <v>101</v>
      </c>
      <c r="D140" s="17" t="s">
        <v>102</v>
      </c>
      <c r="E140" s="18" t="s">
        <v>100</v>
      </c>
      <c r="F140" s="19"/>
      <c r="G140" s="19"/>
      <c r="H140" s="19"/>
      <c r="I140" s="36"/>
      <c r="J140" s="20">
        <f>24.53*1.1</f>
        <v>26.983000000000004</v>
      </c>
      <c r="K140" s="21">
        <f>SUM(I141:I146)</f>
        <v>73.75</v>
      </c>
      <c r="L140" s="22">
        <f>J140*K140</f>
        <v>1989.9962500000004</v>
      </c>
    </row>
    <row r="142" spans="1:12" x14ac:dyDescent="0.25">
      <c r="E142" s="32" t="s">
        <v>98</v>
      </c>
      <c r="F142">
        <v>13</v>
      </c>
      <c r="G142">
        <v>2.5</v>
      </c>
      <c r="I142" s="24">
        <f t="shared" ref="I142:I145" si="15">F142*G142</f>
        <v>32.5</v>
      </c>
    </row>
    <row r="143" spans="1:12" x14ac:dyDescent="0.25">
      <c r="E143" s="32" t="s">
        <v>99</v>
      </c>
      <c r="F143">
        <v>9</v>
      </c>
      <c r="G143">
        <v>2.5</v>
      </c>
      <c r="I143" s="24">
        <f t="shared" si="15"/>
        <v>22.5</v>
      </c>
    </row>
    <row r="144" spans="1:12" x14ac:dyDescent="0.25">
      <c r="F144">
        <v>5.5</v>
      </c>
      <c r="G144">
        <v>2.5</v>
      </c>
      <c r="I144" s="24">
        <f t="shared" si="15"/>
        <v>13.75</v>
      </c>
    </row>
    <row r="145" spans="1:12" x14ac:dyDescent="0.25">
      <c r="F145">
        <v>2</v>
      </c>
      <c r="G145">
        <v>2.5</v>
      </c>
      <c r="I145" s="24">
        <f t="shared" si="15"/>
        <v>5</v>
      </c>
    </row>
    <row r="147" spans="1:12" s="23" customFormat="1" ht="84" x14ac:dyDescent="0.25">
      <c r="A147" s="14">
        <f>$D$115</f>
        <v>3</v>
      </c>
      <c r="B147" s="15">
        <f>B140+1</f>
        <v>5</v>
      </c>
      <c r="C147" s="16" t="s">
        <v>104</v>
      </c>
      <c r="D147" s="17" t="s">
        <v>102</v>
      </c>
      <c r="E147" s="18" t="s">
        <v>103</v>
      </c>
      <c r="F147" s="19"/>
      <c r="G147" s="19"/>
      <c r="H147" s="19"/>
      <c r="I147" s="36"/>
      <c r="J147" s="20">
        <f>9.38*1.1</f>
        <v>10.318000000000001</v>
      </c>
      <c r="K147" s="21">
        <f>SUM(I148:I152)</f>
        <v>44.049600000000005</v>
      </c>
      <c r="L147" s="22">
        <f>J147*K147</f>
        <v>454.50377280000009</v>
      </c>
    </row>
    <row r="149" spans="1:12" x14ac:dyDescent="0.25">
      <c r="E149" s="32" t="s">
        <v>91</v>
      </c>
      <c r="F149">
        <v>6.84</v>
      </c>
      <c r="G149">
        <v>3.22</v>
      </c>
      <c r="I149" s="24">
        <f>F149*G149</f>
        <v>22.024800000000003</v>
      </c>
    </row>
    <row r="150" spans="1:12" x14ac:dyDescent="0.25">
      <c r="F150">
        <v>6.84</v>
      </c>
      <c r="G150">
        <v>3.22</v>
      </c>
      <c r="I150" s="24">
        <f>F150*G150</f>
        <v>22.024800000000003</v>
      </c>
    </row>
    <row r="153" spans="1:12" s="23" customFormat="1" ht="120" x14ac:dyDescent="0.25">
      <c r="A153" s="14">
        <f>$D$115</f>
        <v>3</v>
      </c>
      <c r="B153" s="15">
        <f>B147+1</f>
        <v>6</v>
      </c>
      <c r="C153" s="16" t="s">
        <v>110</v>
      </c>
      <c r="D153" s="17" t="s">
        <v>102</v>
      </c>
      <c r="E153" s="18" t="s">
        <v>111</v>
      </c>
      <c r="F153" s="19"/>
      <c r="G153" s="19"/>
      <c r="H153" s="19"/>
      <c r="I153" s="36"/>
      <c r="J153" s="20">
        <f>61.12*1.1</f>
        <v>67.231999999999999</v>
      </c>
      <c r="K153" s="21">
        <f>SUM(I154:I161)</f>
        <v>7.0064999999999991</v>
      </c>
      <c r="L153" s="22">
        <f>J153*K153</f>
        <v>471.06100799999996</v>
      </c>
    </row>
    <row r="154" spans="1:12" x14ac:dyDescent="0.25">
      <c r="F154" t="s">
        <v>38</v>
      </c>
      <c r="G154" t="s">
        <v>113</v>
      </c>
      <c r="H154" t="s">
        <v>114</v>
      </c>
    </row>
    <row r="155" spans="1:12" x14ac:dyDescent="0.25">
      <c r="E155" s="32" t="s">
        <v>112</v>
      </c>
      <c r="F155">
        <v>6.54</v>
      </c>
      <c r="G155">
        <v>0.15</v>
      </c>
      <c r="H155">
        <v>4</v>
      </c>
      <c r="I155" s="24">
        <f>F155*G155*H155</f>
        <v>3.9239999999999999</v>
      </c>
    </row>
    <row r="156" spans="1:12" x14ac:dyDescent="0.25">
      <c r="F156">
        <v>3.85</v>
      </c>
      <c r="G156">
        <v>0.15</v>
      </c>
      <c r="H156">
        <v>2</v>
      </c>
      <c r="I156" s="24">
        <f t="shared" ref="I156:I160" si="16">F156*G156*H156</f>
        <v>1.155</v>
      </c>
    </row>
    <row r="157" spans="1:12" x14ac:dyDescent="0.25">
      <c r="F157">
        <v>0.6</v>
      </c>
      <c r="G157">
        <v>0.15</v>
      </c>
      <c r="H157">
        <v>2</v>
      </c>
      <c r="I157" s="24">
        <f t="shared" si="16"/>
        <v>0.18</v>
      </c>
    </row>
    <row r="158" spans="1:12" x14ac:dyDescent="0.25">
      <c r="F158">
        <v>0.3</v>
      </c>
      <c r="G158">
        <v>0.15</v>
      </c>
      <c r="H158">
        <v>2</v>
      </c>
      <c r="I158" s="24">
        <f t="shared" si="16"/>
        <v>0.09</v>
      </c>
    </row>
    <row r="159" spans="1:12" x14ac:dyDescent="0.25">
      <c r="F159">
        <v>1.4</v>
      </c>
      <c r="G159">
        <v>0.15</v>
      </c>
      <c r="H159">
        <v>2</v>
      </c>
      <c r="I159" s="24">
        <f t="shared" si="16"/>
        <v>0.42</v>
      </c>
    </row>
    <row r="160" spans="1:12" x14ac:dyDescent="0.25">
      <c r="F160">
        <v>2.75</v>
      </c>
      <c r="G160">
        <v>0.15</v>
      </c>
      <c r="H160">
        <v>3</v>
      </c>
      <c r="I160" s="24">
        <f t="shared" si="16"/>
        <v>1.2374999999999998</v>
      </c>
    </row>
    <row r="162" spans="1:12" s="23" customFormat="1" ht="192.75" customHeight="1" x14ac:dyDescent="0.25">
      <c r="A162" s="14">
        <f>$D$115</f>
        <v>3</v>
      </c>
      <c r="B162" s="15">
        <f>B153+1</f>
        <v>7</v>
      </c>
      <c r="C162" s="16" t="s">
        <v>105</v>
      </c>
      <c r="D162" s="17" t="s">
        <v>102</v>
      </c>
      <c r="E162" s="18" t="s">
        <v>130</v>
      </c>
      <c r="F162" s="19"/>
      <c r="G162" s="19"/>
      <c r="H162" s="19"/>
      <c r="I162" s="36"/>
      <c r="J162" s="20">
        <f>13.38*1.1</f>
        <v>14.718000000000002</v>
      </c>
      <c r="K162" s="21">
        <f>SUM(I163:I168)</f>
        <v>49.312000000000005</v>
      </c>
      <c r="L162" s="22">
        <f>J162*K162</f>
        <v>725.77401600000019</v>
      </c>
    </row>
    <row r="164" spans="1:12" x14ac:dyDescent="0.25">
      <c r="E164" s="32" t="s">
        <v>106</v>
      </c>
      <c r="F164">
        <v>3.85</v>
      </c>
      <c r="G164">
        <v>6.54</v>
      </c>
      <c r="I164" s="24">
        <f t="shared" ref="I164:I167" si="17">F164*G164</f>
        <v>25.179000000000002</v>
      </c>
    </row>
    <row r="165" spans="1:12" x14ac:dyDescent="0.25">
      <c r="E165" s="32" t="s">
        <v>107</v>
      </c>
      <c r="F165">
        <v>1.4</v>
      </c>
      <c r="G165">
        <v>4.3899999999999997</v>
      </c>
      <c r="I165" s="24">
        <f t="shared" si="17"/>
        <v>6.145999999999999</v>
      </c>
    </row>
    <row r="166" spans="1:12" x14ac:dyDescent="0.25">
      <c r="E166" s="32" t="s">
        <v>108</v>
      </c>
      <c r="F166">
        <v>2.75</v>
      </c>
      <c r="G166">
        <v>5.38</v>
      </c>
      <c r="I166" s="24">
        <f t="shared" si="17"/>
        <v>14.795</v>
      </c>
    </row>
    <row r="167" spans="1:12" x14ac:dyDescent="0.25">
      <c r="E167" s="32" t="s">
        <v>109</v>
      </c>
      <c r="F167">
        <v>2.2799999999999998</v>
      </c>
      <c r="G167">
        <v>1.4</v>
      </c>
      <c r="I167" s="24">
        <f t="shared" si="17"/>
        <v>3.1919999999999997</v>
      </c>
    </row>
    <row r="169" spans="1:12" s="23" customFormat="1" ht="120" x14ac:dyDescent="0.25">
      <c r="A169" s="14">
        <f>$D$115</f>
        <v>3</v>
      </c>
      <c r="B169" s="15">
        <f>B162+1</f>
        <v>8</v>
      </c>
      <c r="C169" s="16" t="s">
        <v>116</v>
      </c>
      <c r="D169" s="17" t="s">
        <v>102</v>
      </c>
      <c r="E169" s="18" t="s">
        <v>115</v>
      </c>
      <c r="F169" s="19"/>
      <c r="G169" s="19">
        <v>8.5</v>
      </c>
      <c r="H169" s="19">
        <v>7</v>
      </c>
      <c r="I169" s="36"/>
      <c r="J169" s="20">
        <f>42.36*1.1</f>
        <v>46.596000000000004</v>
      </c>
      <c r="K169" s="21">
        <f>G169*H169</f>
        <v>59.5</v>
      </c>
      <c r="L169" s="22">
        <f>J169*K169</f>
        <v>2772.4620000000004</v>
      </c>
    </row>
    <row r="171" spans="1:12" s="23" customFormat="1" ht="84" x14ac:dyDescent="0.25">
      <c r="A171" s="14">
        <f>$D$115</f>
        <v>3</v>
      </c>
      <c r="B171" s="15">
        <f>B169+1</f>
        <v>9</v>
      </c>
      <c r="C171" s="16" t="s">
        <v>118</v>
      </c>
      <c r="D171" s="17" t="s">
        <v>11</v>
      </c>
      <c r="E171" s="18" t="s">
        <v>117</v>
      </c>
      <c r="F171" s="19"/>
      <c r="G171" s="19"/>
      <c r="H171" s="19"/>
      <c r="I171" s="36"/>
      <c r="J171" s="20">
        <f>225.65*1.1</f>
        <v>248.21500000000003</v>
      </c>
      <c r="K171" s="21">
        <v>1</v>
      </c>
      <c r="L171" s="22">
        <f>J171*K171</f>
        <v>248.21500000000003</v>
      </c>
    </row>
    <row r="173" spans="1:12" x14ac:dyDescent="0.25">
      <c r="E173" s="37" t="s">
        <v>205</v>
      </c>
    </row>
    <row r="174" spans="1:12" x14ac:dyDescent="0.25">
      <c r="E174" s="37" t="s">
        <v>67</v>
      </c>
      <c r="F174">
        <v>4.0999999999999996</v>
      </c>
      <c r="G174">
        <v>2.2000000000000002</v>
      </c>
      <c r="I174" s="24">
        <f>F174*G174</f>
        <v>9.02</v>
      </c>
    </row>
    <row r="175" spans="1:12" x14ac:dyDescent="0.25">
      <c r="E175" s="37"/>
      <c r="F175">
        <v>2.85</v>
      </c>
      <c r="G175">
        <v>2.2000000000000002</v>
      </c>
      <c r="I175" s="24">
        <f t="shared" ref="I175:I177" si="18">F175*G175</f>
        <v>6.2700000000000005</v>
      </c>
    </row>
    <row r="176" spans="1:12" x14ac:dyDescent="0.25">
      <c r="E176" s="37"/>
      <c r="F176">
        <v>1.57</v>
      </c>
      <c r="G176">
        <v>2.2000000000000002</v>
      </c>
      <c r="I176" s="24">
        <f t="shared" si="18"/>
        <v>3.4540000000000006</v>
      </c>
    </row>
    <row r="177" spans="1:12" x14ac:dyDescent="0.25">
      <c r="E177" s="37"/>
      <c r="F177">
        <v>2</v>
      </c>
      <c r="G177">
        <v>2.2000000000000002</v>
      </c>
      <c r="I177" s="24">
        <f t="shared" si="18"/>
        <v>4.4000000000000004</v>
      </c>
    </row>
    <row r="178" spans="1:12" x14ac:dyDescent="0.25">
      <c r="E178" s="37" t="s">
        <v>68</v>
      </c>
      <c r="I178" s="24">
        <v>5.45</v>
      </c>
    </row>
    <row r="180" spans="1:12" s="11" customFormat="1" ht="12" x14ac:dyDescent="0.2">
      <c r="D180" s="11">
        <v>4</v>
      </c>
      <c r="E180" s="30" t="s">
        <v>12</v>
      </c>
      <c r="F180" s="12"/>
      <c r="G180" s="12"/>
      <c r="H180" s="12"/>
      <c r="I180" s="35"/>
      <c r="L180" s="13">
        <f>SUM(L181:L189)</f>
        <v>4769.2348000000011</v>
      </c>
    </row>
    <row r="182" spans="1:12" s="23" customFormat="1" ht="184.5" customHeight="1" x14ac:dyDescent="0.25">
      <c r="A182" s="14">
        <f>$D$180</f>
        <v>4</v>
      </c>
      <c r="B182" s="15">
        <f>B180+1</f>
        <v>1</v>
      </c>
      <c r="C182" s="16" t="s">
        <v>127</v>
      </c>
      <c r="D182" s="17"/>
      <c r="E182" s="18" t="s">
        <v>126</v>
      </c>
      <c r="F182" s="19"/>
      <c r="G182" s="19"/>
      <c r="H182" s="19"/>
      <c r="I182" s="36"/>
      <c r="J182" s="20">
        <f>30.35*1.1</f>
        <v>33.385000000000005</v>
      </c>
      <c r="K182" s="21">
        <f>SUM(I183:I186)</f>
        <v>138.48000000000002</v>
      </c>
      <c r="L182" s="22">
        <f>J182*K182</f>
        <v>4623.1548000000012</v>
      </c>
    </row>
    <row r="184" spans="1:12" x14ac:dyDescent="0.25">
      <c r="E184" s="32" t="s">
        <v>128</v>
      </c>
      <c r="F184">
        <v>3.8</v>
      </c>
      <c r="G184">
        <v>1</v>
      </c>
      <c r="I184" s="24">
        <f>F184*G184</f>
        <v>3.8</v>
      </c>
    </row>
    <row r="185" spans="1:12" x14ac:dyDescent="0.25">
      <c r="E185" s="32" t="s">
        <v>129</v>
      </c>
      <c r="I185" s="24">
        <v>134.68</v>
      </c>
    </row>
    <row r="187" spans="1:12" s="23" customFormat="1" ht="180" x14ac:dyDescent="0.25">
      <c r="A187" s="14">
        <f>$D$180</f>
        <v>4</v>
      </c>
      <c r="B187" s="15">
        <f>B182+1</f>
        <v>2</v>
      </c>
      <c r="C187" s="16" t="s">
        <v>132</v>
      </c>
      <c r="D187" s="17" t="s">
        <v>102</v>
      </c>
      <c r="E187" s="18" t="s">
        <v>131</v>
      </c>
      <c r="F187" s="19"/>
      <c r="G187" s="19"/>
      <c r="H187" s="19"/>
      <c r="I187" s="36"/>
      <c r="J187" s="20">
        <f>33.2*1.1</f>
        <v>36.520000000000003</v>
      </c>
      <c r="K187" s="21">
        <v>4</v>
      </c>
      <c r="L187" s="22">
        <f>J187*K187</f>
        <v>146.08000000000001</v>
      </c>
    </row>
    <row r="190" spans="1:12" s="11" customFormat="1" ht="12" x14ac:dyDescent="0.2">
      <c r="D190" s="11">
        <v>5</v>
      </c>
      <c r="E190" s="30" t="s">
        <v>87</v>
      </c>
      <c r="F190" s="12"/>
      <c r="G190" s="12"/>
      <c r="H190" s="12"/>
      <c r="I190" s="35"/>
      <c r="L190" s="13">
        <v>5339.18</v>
      </c>
    </row>
    <row r="192" spans="1:12" s="23" customFormat="1" ht="60" x14ac:dyDescent="0.25">
      <c r="A192" s="14">
        <f>$D$190</f>
        <v>5</v>
      </c>
      <c r="B192" s="15">
        <f>B190+1</f>
        <v>1</v>
      </c>
      <c r="C192" s="17" t="s">
        <v>134</v>
      </c>
      <c r="D192" s="17" t="s">
        <v>102</v>
      </c>
      <c r="E192" s="18" t="s">
        <v>133</v>
      </c>
      <c r="F192" s="19"/>
      <c r="G192" s="19"/>
      <c r="H192" s="19"/>
      <c r="I192" s="36"/>
      <c r="J192" s="20">
        <f>33.2*1.1</f>
        <v>36.520000000000003</v>
      </c>
      <c r="K192" s="21">
        <f>SUM(I193:I195)</f>
        <v>5</v>
      </c>
      <c r="L192" s="22">
        <f>J192*K192</f>
        <v>182.60000000000002</v>
      </c>
    </row>
    <row r="193" spans="1:12" x14ac:dyDescent="0.25">
      <c r="F193" t="s">
        <v>73</v>
      </c>
      <c r="G193" t="s">
        <v>135</v>
      </c>
      <c r="H193" t="s">
        <v>136</v>
      </c>
    </row>
    <row r="194" spans="1:12" x14ac:dyDescent="0.25">
      <c r="F194">
        <v>2</v>
      </c>
      <c r="G194">
        <v>2.5</v>
      </c>
      <c r="H194">
        <v>1</v>
      </c>
      <c r="I194" s="24">
        <f>F194*G194*H194</f>
        <v>5</v>
      </c>
    </row>
    <row r="196" spans="1:12" s="23" customFormat="1" ht="156" x14ac:dyDescent="0.25">
      <c r="A196" s="14">
        <f>$D$190</f>
        <v>5</v>
      </c>
      <c r="B196" s="15">
        <f>B192+1</f>
        <v>2</v>
      </c>
      <c r="C196" s="16" t="s">
        <v>138</v>
      </c>
      <c r="D196" s="17" t="s">
        <v>102</v>
      </c>
      <c r="E196" s="18" t="s">
        <v>137</v>
      </c>
      <c r="F196" s="19"/>
      <c r="G196" s="19"/>
      <c r="H196" s="19"/>
      <c r="I196" s="36"/>
      <c r="J196" s="20">
        <f>32.74*1.1</f>
        <v>36.014000000000003</v>
      </c>
      <c r="K196" s="21">
        <f>SUM(I198:I205)</f>
        <v>80.681699999999992</v>
      </c>
      <c r="L196" s="22">
        <f>J196*K196</f>
        <v>2905.6707437999999</v>
      </c>
    </row>
    <row r="197" spans="1:12" x14ac:dyDescent="0.25">
      <c r="F197" t="s">
        <v>38</v>
      </c>
      <c r="G197" t="s">
        <v>135</v>
      </c>
      <c r="I197" s="24" t="s">
        <v>140</v>
      </c>
    </row>
    <row r="198" spans="1:12" x14ac:dyDescent="0.25">
      <c r="E198" s="32" t="s">
        <v>139</v>
      </c>
      <c r="F198">
        <v>6.84</v>
      </c>
      <c r="G198">
        <v>2.5299999999999998</v>
      </c>
      <c r="I198" s="24">
        <f>F198*G198</f>
        <v>17.305199999999999</v>
      </c>
    </row>
    <row r="199" spans="1:12" x14ac:dyDescent="0.25">
      <c r="F199">
        <v>5.68</v>
      </c>
      <c r="G199">
        <v>2.5299999999999998</v>
      </c>
      <c r="I199" s="24">
        <f t="shared" ref="I199:I204" si="19">F199*G199</f>
        <v>14.370399999999998</v>
      </c>
    </row>
    <row r="200" spans="1:12" x14ac:dyDescent="0.25">
      <c r="F200">
        <f>F198-F199-0.1</f>
        <v>1.06</v>
      </c>
      <c r="G200">
        <v>2.5299999999999998</v>
      </c>
      <c r="I200" s="24">
        <f t="shared" si="19"/>
        <v>2.6818</v>
      </c>
    </row>
    <row r="201" spans="1:12" x14ac:dyDescent="0.25">
      <c r="F201">
        <v>3.05</v>
      </c>
      <c r="G201">
        <v>2.5299999999999998</v>
      </c>
      <c r="I201" s="24">
        <f t="shared" si="19"/>
        <v>7.716499999999999</v>
      </c>
    </row>
    <row r="202" spans="1:12" x14ac:dyDescent="0.25">
      <c r="F202">
        <v>3.05</v>
      </c>
      <c r="G202">
        <v>2.5299999999999998</v>
      </c>
      <c r="I202" s="24">
        <f t="shared" si="19"/>
        <v>7.716499999999999</v>
      </c>
    </row>
    <row r="203" spans="1:12" x14ac:dyDescent="0.25">
      <c r="F203">
        <v>8.06</v>
      </c>
      <c r="G203">
        <v>2.5299999999999998</v>
      </c>
      <c r="I203" s="24">
        <f t="shared" si="19"/>
        <v>20.3918</v>
      </c>
    </row>
    <row r="204" spans="1:12" x14ac:dyDescent="0.25">
      <c r="F204">
        <v>4.1500000000000004</v>
      </c>
      <c r="G204">
        <v>2.5299999999999998</v>
      </c>
      <c r="I204" s="24">
        <f t="shared" si="19"/>
        <v>10.499499999999999</v>
      </c>
    </row>
    <row r="206" spans="1:12" s="23" customFormat="1" ht="84" x14ac:dyDescent="0.25">
      <c r="A206" s="14">
        <f>$D$190</f>
        <v>5</v>
      </c>
      <c r="B206" s="15">
        <f>B196+1</f>
        <v>3</v>
      </c>
      <c r="C206" s="16" t="s">
        <v>142</v>
      </c>
      <c r="D206" s="17" t="s">
        <v>102</v>
      </c>
      <c r="E206" s="18" t="s">
        <v>141</v>
      </c>
      <c r="F206" s="19"/>
      <c r="G206" s="19"/>
      <c r="H206" s="19"/>
      <c r="I206" s="36"/>
      <c r="J206" s="20">
        <f>9.09*1.1</f>
        <v>9.9990000000000006</v>
      </c>
      <c r="K206" s="21">
        <f>SUM(I207:I227)</f>
        <v>225.12000000000003</v>
      </c>
      <c r="L206" s="22">
        <f>J206*K206</f>
        <v>2250.9748800000007</v>
      </c>
    </row>
    <row r="207" spans="1:12" x14ac:dyDescent="0.25">
      <c r="F207" t="s">
        <v>38</v>
      </c>
      <c r="G207" t="s">
        <v>135</v>
      </c>
      <c r="I207" s="24" t="s">
        <v>140</v>
      </c>
    </row>
    <row r="208" spans="1:12" x14ac:dyDescent="0.25">
      <c r="E208" s="32" t="s">
        <v>143</v>
      </c>
      <c r="F208">
        <v>13</v>
      </c>
      <c r="G208">
        <v>2.8</v>
      </c>
      <c r="I208" s="24">
        <f t="shared" ref="I208:I226" si="20">F208*G208</f>
        <v>36.4</v>
      </c>
    </row>
    <row r="209" spans="5:9" x14ac:dyDescent="0.25">
      <c r="E209" s="32" t="s">
        <v>145</v>
      </c>
      <c r="F209">
        <v>11.5</v>
      </c>
      <c r="G209">
        <v>2.8</v>
      </c>
      <c r="I209" s="24">
        <f t="shared" si="20"/>
        <v>32.199999999999996</v>
      </c>
    </row>
    <row r="210" spans="5:9" x14ac:dyDescent="0.25">
      <c r="F210">
        <v>8.5</v>
      </c>
      <c r="G210">
        <v>2.8</v>
      </c>
      <c r="I210" s="24">
        <f t="shared" si="20"/>
        <v>23.799999999999997</v>
      </c>
    </row>
    <row r="211" spans="5:9" x14ac:dyDescent="0.25">
      <c r="F211">
        <v>6</v>
      </c>
      <c r="G211">
        <v>2.8</v>
      </c>
      <c r="I211" s="24">
        <f t="shared" si="20"/>
        <v>16.799999999999997</v>
      </c>
    </row>
    <row r="212" spans="5:9" x14ac:dyDescent="0.25">
      <c r="F212">
        <v>8</v>
      </c>
      <c r="G212">
        <v>2.8</v>
      </c>
      <c r="I212" s="24">
        <f t="shared" si="20"/>
        <v>22.4</v>
      </c>
    </row>
    <row r="213" spans="5:9" x14ac:dyDescent="0.25">
      <c r="E213" s="32" t="s">
        <v>146</v>
      </c>
      <c r="F213">
        <v>2</v>
      </c>
      <c r="G213">
        <v>2.8</v>
      </c>
      <c r="I213" s="24">
        <f t="shared" si="20"/>
        <v>5.6</v>
      </c>
    </row>
    <row r="214" spans="5:9" x14ac:dyDescent="0.25">
      <c r="F214">
        <v>2</v>
      </c>
      <c r="G214">
        <v>2.8</v>
      </c>
      <c r="I214" s="24">
        <f t="shared" si="20"/>
        <v>5.6</v>
      </c>
    </row>
    <row r="215" spans="5:9" x14ac:dyDescent="0.25">
      <c r="F215">
        <v>1.7</v>
      </c>
      <c r="G215">
        <v>2.8</v>
      </c>
      <c r="I215" s="24">
        <f t="shared" si="20"/>
        <v>4.76</v>
      </c>
    </row>
    <row r="216" spans="5:9" x14ac:dyDescent="0.25">
      <c r="F216">
        <v>1.7</v>
      </c>
      <c r="G216">
        <v>2.8</v>
      </c>
      <c r="I216" s="24">
        <f t="shared" si="20"/>
        <v>4.76</v>
      </c>
    </row>
    <row r="217" spans="5:9" x14ac:dyDescent="0.25">
      <c r="F217">
        <v>3</v>
      </c>
      <c r="G217">
        <v>2.8</v>
      </c>
      <c r="I217" s="24">
        <f t="shared" si="20"/>
        <v>8.3999999999999986</v>
      </c>
    </row>
    <row r="218" spans="5:9" x14ac:dyDescent="0.25">
      <c r="F218">
        <v>2.5</v>
      </c>
      <c r="G218">
        <v>2.8</v>
      </c>
      <c r="I218" s="24">
        <f t="shared" si="20"/>
        <v>7</v>
      </c>
    </row>
    <row r="219" spans="5:9" x14ac:dyDescent="0.25">
      <c r="F219">
        <v>0.5</v>
      </c>
      <c r="G219">
        <v>2.8</v>
      </c>
      <c r="I219" s="24">
        <f t="shared" si="20"/>
        <v>1.4</v>
      </c>
    </row>
    <row r="220" spans="5:9" x14ac:dyDescent="0.25">
      <c r="F220">
        <v>1</v>
      </c>
      <c r="G220">
        <v>2.8</v>
      </c>
      <c r="I220" s="24">
        <f t="shared" si="20"/>
        <v>2.8</v>
      </c>
    </row>
    <row r="221" spans="5:9" x14ac:dyDescent="0.25">
      <c r="F221">
        <v>2.5</v>
      </c>
      <c r="G221">
        <v>2.8</v>
      </c>
      <c r="I221" s="24">
        <f t="shared" si="20"/>
        <v>7</v>
      </c>
    </row>
    <row r="222" spans="5:9" x14ac:dyDescent="0.25">
      <c r="E222" s="32" t="s">
        <v>144</v>
      </c>
      <c r="F222">
        <v>3.3</v>
      </c>
      <c r="G222">
        <v>2.8</v>
      </c>
      <c r="I222" s="24">
        <f t="shared" si="20"/>
        <v>9.2399999999999984</v>
      </c>
    </row>
    <row r="223" spans="5:9" x14ac:dyDescent="0.25">
      <c r="F223">
        <v>3.3</v>
      </c>
      <c r="G223">
        <v>2.8</v>
      </c>
      <c r="I223" s="24">
        <f t="shared" si="20"/>
        <v>9.2399999999999984</v>
      </c>
    </row>
    <row r="224" spans="5:9" x14ac:dyDescent="0.25">
      <c r="F224">
        <v>3.3</v>
      </c>
      <c r="G224">
        <v>2.8</v>
      </c>
      <c r="I224" s="24">
        <f t="shared" si="20"/>
        <v>9.2399999999999984</v>
      </c>
    </row>
    <row r="225" spans="1:12" x14ac:dyDescent="0.25">
      <c r="F225">
        <v>3.3</v>
      </c>
      <c r="G225">
        <v>2.8</v>
      </c>
      <c r="I225" s="24">
        <f t="shared" si="20"/>
        <v>9.2399999999999984</v>
      </c>
    </row>
    <row r="226" spans="1:12" x14ac:dyDescent="0.25">
      <c r="F226">
        <v>3.3</v>
      </c>
      <c r="G226">
        <v>2.8</v>
      </c>
      <c r="I226" s="24">
        <f t="shared" si="20"/>
        <v>9.2399999999999984</v>
      </c>
    </row>
    <row r="227" spans="1:12" ht="14.25" customHeight="1" x14ac:dyDescent="0.25"/>
    <row r="228" spans="1:12" s="11" customFormat="1" ht="12" x14ac:dyDescent="0.2">
      <c r="D228" s="11">
        <v>6</v>
      </c>
      <c r="E228" s="30" t="s">
        <v>13</v>
      </c>
      <c r="F228" s="12"/>
      <c r="G228" s="12"/>
      <c r="H228" s="12"/>
      <c r="I228" s="35"/>
      <c r="L228" s="13">
        <f>SUM(L229:L258)</f>
        <v>7738.483940000001</v>
      </c>
    </row>
    <row r="230" spans="1:12" s="23" customFormat="1" ht="84" x14ac:dyDescent="0.25">
      <c r="A230" s="14">
        <f>$D$228</f>
        <v>6</v>
      </c>
      <c r="B230" s="15">
        <f>B228+1</f>
        <v>1</v>
      </c>
      <c r="C230" s="16" t="s">
        <v>148</v>
      </c>
      <c r="D230" s="17" t="s">
        <v>102</v>
      </c>
      <c r="E230" s="18" t="s">
        <v>147</v>
      </c>
      <c r="F230" s="19"/>
      <c r="G230" s="19"/>
      <c r="H230" s="19"/>
      <c r="I230" s="36"/>
      <c r="J230" s="20">
        <f>28.04*1.1</f>
        <v>30.844000000000001</v>
      </c>
      <c r="K230" s="21">
        <f>SUM(I231:I241)</f>
        <v>129.60000000000002</v>
      </c>
      <c r="L230" s="22">
        <f>J230*K230</f>
        <v>3997.3824000000009</v>
      </c>
    </row>
    <row r="232" spans="1:12" x14ac:dyDescent="0.25">
      <c r="E232" s="32" t="s">
        <v>149</v>
      </c>
      <c r="F232">
        <v>7.8</v>
      </c>
      <c r="G232">
        <v>9</v>
      </c>
      <c r="I232" s="24">
        <f t="shared" ref="I232:I240" si="21">F232*G232</f>
        <v>70.2</v>
      </c>
    </row>
    <row r="233" spans="1:12" x14ac:dyDescent="0.25">
      <c r="E233" s="32" t="s">
        <v>151</v>
      </c>
      <c r="F233">
        <v>3</v>
      </c>
      <c r="G233">
        <v>1.8</v>
      </c>
      <c r="I233" s="24">
        <f t="shared" si="21"/>
        <v>5.4</v>
      </c>
    </row>
    <row r="234" spans="1:12" x14ac:dyDescent="0.25">
      <c r="E234" s="32" t="s">
        <v>150</v>
      </c>
      <c r="F234">
        <v>3</v>
      </c>
      <c r="G234">
        <v>1.8</v>
      </c>
      <c r="I234" s="24">
        <f t="shared" si="21"/>
        <v>5.4</v>
      </c>
    </row>
    <row r="235" spans="1:12" x14ac:dyDescent="0.25">
      <c r="E235" s="32" t="s">
        <v>150</v>
      </c>
      <c r="F235">
        <v>3</v>
      </c>
      <c r="G235">
        <v>1.8</v>
      </c>
      <c r="I235" s="24">
        <f t="shared" si="21"/>
        <v>5.4</v>
      </c>
    </row>
    <row r="236" spans="1:12" x14ac:dyDescent="0.25">
      <c r="E236" s="32" t="s">
        <v>150</v>
      </c>
      <c r="F236">
        <v>3</v>
      </c>
      <c r="G236">
        <v>3</v>
      </c>
      <c r="I236" s="24">
        <f t="shared" si="21"/>
        <v>9</v>
      </c>
    </row>
    <row r="237" spans="1:12" x14ac:dyDescent="0.25">
      <c r="E237" s="32" t="s">
        <v>150</v>
      </c>
      <c r="F237">
        <v>2.4</v>
      </c>
      <c r="G237">
        <v>4.5</v>
      </c>
      <c r="I237" s="24">
        <f t="shared" si="21"/>
        <v>10.799999999999999</v>
      </c>
    </row>
    <row r="238" spans="1:12" x14ac:dyDescent="0.25">
      <c r="E238" s="32" t="s">
        <v>150</v>
      </c>
      <c r="F238">
        <v>3</v>
      </c>
      <c r="G238">
        <v>1.8</v>
      </c>
      <c r="I238" s="24">
        <f t="shared" si="21"/>
        <v>5.4</v>
      </c>
    </row>
    <row r="240" spans="1:12" x14ac:dyDescent="0.25">
      <c r="E240" s="32" t="s">
        <v>152</v>
      </c>
      <c r="F240">
        <v>3</v>
      </c>
      <c r="G240">
        <v>6</v>
      </c>
      <c r="I240" s="24">
        <f t="shared" si="21"/>
        <v>18</v>
      </c>
    </row>
    <row r="242" spans="1:12" s="23" customFormat="1" ht="144" x14ac:dyDescent="0.25">
      <c r="A242" s="14">
        <f>$D$228</f>
        <v>6</v>
      </c>
      <c r="B242" s="15">
        <f>B230+1</f>
        <v>2</v>
      </c>
      <c r="C242" s="16" t="s">
        <v>153</v>
      </c>
      <c r="D242" s="17" t="s">
        <v>102</v>
      </c>
      <c r="E242" s="18" t="s">
        <v>154</v>
      </c>
      <c r="F242" s="19"/>
      <c r="G242" s="19"/>
      <c r="H242" s="19"/>
      <c r="I242" s="36"/>
      <c r="J242" s="20">
        <f>28.36*1.1</f>
        <v>31.196000000000002</v>
      </c>
      <c r="K242" s="21">
        <f>SUM(I243:I248)</f>
        <v>34.989999999999995</v>
      </c>
      <c r="L242" s="22">
        <f>J242*K242</f>
        <v>1091.5480399999999</v>
      </c>
    </row>
    <row r="244" spans="1:12" x14ac:dyDescent="0.25">
      <c r="E244" s="32" t="s">
        <v>155</v>
      </c>
      <c r="G244" s="24"/>
      <c r="I244" s="24">
        <v>23.08</v>
      </c>
    </row>
    <row r="245" spans="1:12" x14ac:dyDescent="0.25">
      <c r="E245" s="32" t="s">
        <v>156</v>
      </c>
      <c r="F245">
        <v>3</v>
      </c>
      <c r="G245">
        <v>2</v>
      </c>
      <c r="H245">
        <v>0.5</v>
      </c>
      <c r="I245" s="24">
        <f>F245*G245*H245</f>
        <v>3</v>
      </c>
    </row>
    <row r="247" spans="1:12" x14ac:dyDescent="0.25">
      <c r="E247" s="32" t="s">
        <v>152</v>
      </c>
      <c r="F247">
        <v>3.9</v>
      </c>
      <c r="G247">
        <v>6.9</v>
      </c>
      <c r="H247">
        <v>-18</v>
      </c>
      <c r="I247" s="24">
        <f>F247*G247+H247</f>
        <v>8.91</v>
      </c>
    </row>
    <row r="249" spans="1:12" s="23" customFormat="1" ht="160.5" customHeight="1" x14ac:dyDescent="0.25">
      <c r="A249" s="14">
        <f>$D$228</f>
        <v>6</v>
      </c>
      <c r="B249" s="15">
        <f>B242+1</f>
        <v>3</v>
      </c>
      <c r="C249" s="16" t="s">
        <v>153</v>
      </c>
      <c r="D249" s="17" t="s">
        <v>102</v>
      </c>
      <c r="E249" s="31" t="s">
        <v>157</v>
      </c>
      <c r="F249" s="19"/>
      <c r="G249" s="19"/>
      <c r="H249" s="19">
        <v>8.5</v>
      </c>
      <c r="I249" s="36">
        <v>6.8</v>
      </c>
      <c r="J249" s="20">
        <f>34.59*1.1</f>
        <v>38.049000000000007</v>
      </c>
      <c r="K249" s="21">
        <f>H249*I249</f>
        <v>57.8</v>
      </c>
      <c r="L249" s="22">
        <f>J249*K249</f>
        <v>2199.2322000000004</v>
      </c>
    </row>
    <row r="251" spans="1:12" s="23" customFormat="1" ht="96" x14ac:dyDescent="0.25">
      <c r="A251" s="14">
        <f>$D$228</f>
        <v>6</v>
      </c>
      <c r="B251" s="15">
        <f>B249+1</f>
        <v>4</v>
      </c>
      <c r="C251" s="16" t="s">
        <v>142</v>
      </c>
      <c r="D251" s="17" t="s">
        <v>102</v>
      </c>
      <c r="E251" s="18" t="s">
        <v>158</v>
      </c>
      <c r="F251" s="19"/>
      <c r="G251" s="19"/>
      <c r="H251" s="19"/>
      <c r="I251" s="36"/>
      <c r="J251" s="20">
        <f>11.7*1.1</f>
        <v>12.870000000000001</v>
      </c>
      <c r="K251" s="21">
        <f>SUM(I252:I257)</f>
        <v>34.989999999999995</v>
      </c>
      <c r="L251" s="22">
        <f>J251*K251</f>
        <v>450.32129999999995</v>
      </c>
    </row>
    <row r="253" spans="1:12" x14ac:dyDescent="0.25">
      <c r="E253" s="32" t="s">
        <v>159</v>
      </c>
    </row>
    <row r="254" spans="1:12" x14ac:dyDescent="0.25">
      <c r="E254" s="32" t="s">
        <v>155</v>
      </c>
      <c r="I254" s="24">
        <v>23.08</v>
      </c>
    </row>
    <row r="255" spans="1:12" x14ac:dyDescent="0.25">
      <c r="E255" s="32" t="s">
        <v>156</v>
      </c>
      <c r="I255" s="24">
        <v>3</v>
      </c>
    </row>
    <row r="256" spans="1:12" x14ac:dyDescent="0.25">
      <c r="E256" s="32" t="s">
        <v>152</v>
      </c>
      <c r="I256" s="24">
        <v>8.91</v>
      </c>
    </row>
    <row r="257" spans="1:12" ht="14.25" customHeight="1" x14ac:dyDescent="0.25"/>
    <row r="258" spans="1:12" ht="14.25" customHeight="1" x14ac:dyDescent="0.25"/>
    <row r="259" spans="1:12" s="11" customFormat="1" ht="12" x14ac:dyDescent="0.2">
      <c r="D259" s="11">
        <v>7</v>
      </c>
      <c r="E259" s="30" t="s">
        <v>14</v>
      </c>
      <c r="F259" s="12"/>
      <c r="G259" s="12"/>
      <c r="H259" s="12"/>
      <c r="I259" s="35"/>
      <c r="L259" s="13">
        <v>8482.7099999999991</v>
      </c>
    </row>
    <row r="261" spans="1:12" s="23" customFormat="1" ht="132" x14ac:dyDescent="0.25">
      <c r="A261" s="14">
        <f>$D$259</f>
        <v>7</v>
      </c>
      <c r="B261" s="15">
        <f>B259+1</f>
        <v>1</v>
      </c>
      <c r="C261" s="16" t="s">
        <v>161</v>
      </c>
      <c r="D261" s="17" t="s">
        <v>73</v>
      </c>
      <c r="E261" s="18" t="s">
        <v>160</v>
      </c>
      <c r="F261" s="19"/>
      <c r="G261" s="19"/>
      <c r="H261" s="19"/>
      <c r="I261" s="36"/>
      <c r="J261" s="20">
        <f>489.16*1.1</f>
        <v>538.07600000000002</v>
      </c>
      <c r="K261" s="21">
        <v>1</v>
      </c>
      <c r="L261" s="22">
        <f>J261*K261</f>
        <v>538.07600000000002</v>
      </c>
    </row>
    <row r="263" spans="1:12" s="23" customFormat="1" ht="120" x14ac:dyDescent="0.25">
      <c r="A263" s="14">
        <f>$D$259</f>
        <v>7</v>
      </c>
      <c r="B263" s="15">
        <f>B261+1</f>
        <v>2</v>
      </c>
      <c r="C263" s="16" t="s">
        <v>161</v>
      </c>
      <c r="D263" s="17" t="s">
        <v>73</v>
      </c>
      <c r="E263" s="18" t="s">
        <v>162</v>
      </c>
      <c r="F263" s="19"/>
      <c r="G263" s="19"/>
      <c r="H263" s="19"/>
      <c r="I263" s="36"/>
      <c r="J263" s="20">
        <f>289.23*1.1</f>
        <v>318.15300000000002</v>
      </c>
      <c r="K263" s="21">
        <v>1</v>
      </c>
      <c r="L263" s="22">
        <f>J263*K263</f>
        <v>318.15300000000002</v>
      </c>
    </row>
    <row r="265" spans="1:12" s="23" customFormat="1" ht="132" x14ac:dyDescent="0.25">
      <c r="A265" s="14">
        <f>$D$259</f>
        <v>7</v>
      </c>
      <c r="B265" s="15">
        <f>B263+1</f>
        <v>3</v>
      </c>
      <c r="C265" s="16" t="s">
        <v>161</v>
      </c>
      <c r="D265" s="17" t="s">
        <v>73</v>
      </c>
      <c r="E265" s="18" t="s">
        <v>163</v>
      </c>
      <c r="F265" s="19"/>
      <c r="G265" s="19"/>
      <c r="H265" s="19"/>
      <c r="I265" s="36"/>
      <c r="J265" s="20">
        <f>489.16*1.1</f>
        <v>538.07600000000002</v>
      </c>
      <c r="K265" s="21">
        <v>1</v>
      </c>
      <c r="L265" s="22">
        <f>J265*K265</f>
        <v>538.07600000000002</v>
      </c>
    </row>
    <row r="267" spans="1:12" s="23" customFormat="1" ht="168" x14ac:dyDescent="0.25">
      <c r="A267" s="14">
        <f>$D$259</f>
        <v>7</v>
      </c>
      <c r="B267" s="15">
        <f>B265+1</f>
        <v>4</v>
      </c>
      <c r="C267" s="16" t="s">
        <v>165</v>
      </c>
      <c r="D267" s="17" t="s">
        <v>73</v>
      </c>
      <c r="E267" s="18" t="s">
        <v>164</v>
      </c>
      <c r="F267" s="19"/>
      <c r="G267" s="19"/>
      <c r="H267" s="19"/>
      <c r="I267" s="36"/>
      <c r="J267" s="20">
        <f>308.53*1.1</f>
        <v>339.38299999999998</v>
      </c>
      <c r="K267" s="21">
        <v>1</v>
      </c>
      <c r="L267" s="22">
        <f>J267*K267</f>
        <v>339.38299999999998</v>
      </c>
    </row>
    <row r="269" spans="1:12" s="23" customFormat="1" ht="180" x14ac:dyDescent="0.25">
      <c r="A269" s="14">
        <f>$D$259</f>
        <v>7</v>
      </c>
      <c r="B269" s="15">
        <f>B267+1</f>
        <v>5</v>
      </c>
      <c r="C269" s="16" t="s">
        <v>166</v>
      </c>
      <c r="D269" s="17" t="s">
        <v>102</v>
      </c>
      <c r="E269" s="18" t="s">
        <v>173</v>
      </c>
      <c r="F269" s="19"/>
      <c r="G269" s="19"/>
      <c r="H269" s="19"/>
      <c r="I269" s="36"/>
      <c r="J269" s="20">
        <f>160.07*1.1</f>
        <v>176.077</v>
      </c>
      <c r="K269" s="21">
        <f>SUM(I270:I275)</f>
        <v>20.832000000000001</v>
      </c>
      <c r="L269" s="22">
        <f>J269*K269</f>
        <v>3668.0360639999999</v>
      </c>
    </row>
    <row r="270" spans="1:12" x14ac:dyDescent="0.25">
      <c r="F270" s="50" t="s">
        <v>38</v>
      </c>
      <c r="G270" s="50" t="s">
        <v>113</v>
      </c>
      <c r="H270" s="50" t="s">
        <v>114</v>
      </c>
    </row>
    <row r="271" spans="1:12" x14ac:dyDescent="0.25">
      <c r="E271" s="32" t="s">
        <v>167</v>
      </c>
      <c r="F271">
        <v>1.68</v>
      </c>
      <c r="G271">
        <v>2.2000000000000002</v>
      </c>
      <c r="H271">
        <v>3</v>
      </c>
      <c r="I271" s="24">
        <f>F271*G271*H271</f>
        <v>11.088000000000001</v>
      </c>
    </row>
    <row r="272" spans="1:12" x14ac:dyDescent="0.25">
      <c r="E272" s="32" t="s">
        <v>168</v>
      </c>
      <c r="F272">
        <v>1.68</v>
      </c>
      <c r="G272">
        <v>0.6</v>
      </c>
      <c r="H272">
        <v>3</v>
      </c>
      <c r="I272" s="24">
        <f t="shared" ref="I272:I274" si="22">F272*G272*H272</f>
        <v>3.024</v>
      </c>
    </row>
    <row r="273" spans="1:12" x14ac:dyDescent="0.25">
      <c r="E273" s="32" t="s">
        <v>171</v>
      </c>
      <c r="F273">
        <v>0.8</v>
      </c>
      <c r="G273">
        <v>0.6</v>
      </c>
      <c r="H273">
        <v>3</v>
      </c>
      <c r="I273" s="24">
        <f t="shared" si="22"/>
        <v>1.44</v>
      </c>
    </row>
    <row r="274" spans="1:12" x14ac:dyDescent="0.25">
      <c r="E274" s="32" t="s">
        <v>172</v>
      </c>
      <c r="F274">
        <v>0.8</v>
      </c>
      <c r="G274">
        <v>2.2000000000000002</v>
      </c>
      <c r="H274">
        <v>3</v>
      </c>
      <c r="I274" s="24">
        <f t="shared" si="22"/>
        <v>5.2800000000000011</v>
      </c>
    </row>
    <row r="276" spans="1:12" s="23" customFormat="1" ht="180" x14ac:dyDescent="0.25">
      <c r="A276" s="14">
        <f>$D$259</f>
        <v>7</v>
      </c>
      <c r="B276" s="15">
        <f>B269+1</f>
        <v>6</v>
      </c>
      <c r="C276" s="16" t="s">
        <v>166</v>
      </c>
      <c r="D276" s="17" t="s">
        <v>102</v>
      </c>
      <c r="E276" s="18" t="s">
        <v>174</v>
      </c>
      <c r="F276" s="19"/>
      <c r="G276" s="19"/>
      <c r="H276" s="19"/>
      <c r="I276" s="36"/>
      <c r="J276" s="20">
        <f>160.07*1.1</f>
        <v>176.077</v>
      </c>
      <c r="K276" s="21">
        <f>SUM(I277:I283)</f>
        <v>10.556000000000001</v>
      </c>
      <c r="L276" s="22">
        <f>J276*K276</f>
        <v>1858.6688120000001</v>
      </c>
    </row>
    <row r="277" spans="1:12" x14ac:dyDescent="0.25">
      <c r="F277" s="50" t="s">
        <v>38</v>
      </c>
      <c r="G277" s="50" t="s">
        <v>113</v>
      </c>
      <c r="H277" s="50" t="s">
        <v>114</v>
      </c>
    </row>
    <row r="278" spans="1:12" x14ac:dyDescent="0.25">
      <c r="E278" s="32" t="s">
        <v>167</v>
      </c>
      <c r="F278">
        <v>1.72</v>
      </c>
      <c r="G278">
        <v>2.2000000000000002</v>
      </c>
      <c r="H278">
        <v>1</v>
      </c>
      <c r="I278" s="24">
        <f>F278*G278*H278</f>
        <v>3.7840000000000003</v>
      </c>
    </row>
    <row r="279" spans="1:12" x14ac:dyDescent="0.25">
      <c r="E279" s="32" t="s">
        <v>168</v>
      </c>
      <c r="F279">
        <v>1.72</v>
      </c>
      <c r="G279">
        <v>0.6</v>
      </c>
      <c r="H279">
        <v>1</v>
      </c>
      <c r="I279" s="24">
        <f t="shared" ref="I279" si="23">F279*G279*H279</f>
        <v>1.032</v>
      </c>
    </row>
    <row r="280" spans="1:12" x14ac:dyDescent="0.25">
      <c r="E280" s="32" t="s">
        <v>169</v>
      </c>
      <c r="F280">
        <v>1.25</v>
      </c>
      <c r="G280">
        <v>2.2000000000000002</v>
      </c>
      <c r="H280">
        <v>1</v>
      </c>
      <c r="I280" s="24">
        <f>F280*G280*H280</f>
        <v>2.75</v>
      </c>
    </row>
    <row r="281" spans="1:12" x14ac:dyDescent="0.25">
      <c r="E281" s="32" t="s">
        <v>170</v>
      </c>
      <c r="F281">
        <v>1.25</v>
      </c>
      <c r="G281">
        <v>0.6</v>
      </c>
      <c r="H281">
        <v>1</v>
      </c>
      <c r="I281" s="24">
        <f t="shared" ref="I281:I283" si="24">F281*G281*H281</f>
        <v>0.75</v>
      </c>
    </row>
    <row r="282" spans="1:12" x14ac:dyDescent="0.25">
      <c r="E282" s="32" t="s">
        <v>171</v>
      </c>
      <c r="F282">
        <v>0.8</v>
      </c>
      <c r="G282">
        <v>0.6</v>
      </c>
      <c r="H282">
        <v>1</v>
      </c>
      <c r="I282" s="24">
        <f t="shared" si="24"/>
        <v>0.48</v>
      </c>
    </row>
    <row r="283" spans="1:12" x14ac:dyDescent="0.25">
      <c r="E283" s="32" t="s">
        <v>172</v>
      </c>
      <c r="F283">
        <v>0.8</v>
      </c>
      <c r="G283">
        <v>2.2000000000000002</v>
      </c>
      <c r="H283">
        <v>1</v>
      </c>
      <c r="I283" s="24">
        <f t="shared" si="24"/>
        <v>1.7600000000000002</v>
      </c>
    </row>
    <row r="285" spans="1:12" s="23" customFormat="1" ht="180" x14ac:dyDescent="0.25">
      <c r="A285" s="14">
        <f>$D$259</f>
        <v>7</v>
      </c>
      <c r="B285" s="15">
        <f>B276+1</f>
        <v>7</v>
      </c>
      <c r="C285" s="16" t="s">
        <v>166</v>
      </c>
      <c r="D285" s="17" t="s">
        <v>102</v>
      </c>
      <c r="E285" s="18" t="s">
        <v>175</v>
      </c>
      <c r="F285" s="19"/>
      <c r="G285" s="19"/>
      <c r="H285" s="19"/>
      <c r="I285" s="36"/>
      <c r="J285" s="20">
        <f>160.07*1.1</f>
        <v>176.077</v>
      </c>
      <c r="K285" s="21">
        <f>SUM(I286:I290)</f>
        <v>6.9440000000000008</v>
      </c>
      <c r="L285" s="22">
        <f>J285*K285</f>
        <v>1222.6786880000002</v>
      </c>
    </row>
    <row r="286" spans="1:12" x14ac:dyDescent="0.25">
      <c r="F286" s="50" t="s">
        <v>38</v>
      </c>
      <c r="G286" s="50" t="s">
        <v>113</v>
      </c>
      <c r="H286" s="50" t="s">
        <v>114</v>
      </c>
    </row>
    <row r="287" spans="1:12" x14ac:dyDescent="0.25">
      <c r="E287" s="32" t="s">
        <v>167</v>
      </c>
      <c r="F287">
        <v>1.68</v>
      </c>
      <c r="G287">
        <v>2.2000000000000002</v>
      </c>
      <c r="H287">
        <v>1</v>
      </c>
      <c r="I287" s="24">
        <f>F287*G287*H287</f>
        <v>3.6960000000000002</v>
      </c>
    </row>
    <row r="288" spans="1:12" x14ac:dyDescent="0.25">
      <c r="E288" s="32" t="s">
        <v>168</v>
      </c>
      <c r="F288">
        <v>1.68</v>
      </c>
      <c r="G288">
        <v>0.6</v>
      </c>
      <c r="H288">
        <v>1</v>
      </c>
      <c r="I288" s="24">
        <f t="shared" ref="I288:I290" si="25">F288*G288*H288</f>
        <v>1.008</v>
      </c>
    </row>
    <row r="289" spans="1:12" x14ac:dyDescent="0.25">
      <c r="E289" s="32" t="s">
        <v>171</v>
      </c>
      <c r="F289">
        <v>0.8</v>
      </c>
      <c r="G289">
        <v>0.6</v>
      </c>
      <c r="H289">
        <v>1</v>
      </c>
      <c r="I289" s="24">
        <f t="shared" si="25"/>
        <v>0.48</v>
      </c>
    </row>
    <row r="290" spans="1:12" x14ac:dyDescent="0.25">
      <c r="E290" s="32" t="s">
        <v>172</v>
      </c>
      <c r="F290">
        <v>0.8</v>
      </c>
      <c r="G290">
        <v>2.2000000000000002</v>
      </c>
      <c r="H290">
        <v>1</v>
      </c>
      <c r="I290" s="24">
        <f t="shared" si="25"/>
        <v>1.7600000000000002</v>
      </c>
    </row>
    <row r="293" spans="1:12" s="11" customFormat="1" ht="12" x14ac:dyDescent="0.2">
      <c r="D293" s="11">
        <v>8</v>
      </c>
      <c r="E293" s="30" t="s">
        <v>15</v>
      </c>
      <c r="F293" s="12"/>
      <c r="G293" s="12"/>
      <c r="H293" s="12"/>
      <c r="I293" s="35"/>
      <c r="L293" s="13">
        <f>SUM(L294:L315)</f>
        <v>7789.683</v>
      </c>
    </row>
    <row r="295" spans="1:12" s="23" customFormat="1" ht="12" x14ac:dyDescent="0.25">
      <c r="A295" s="14">
        <f>$D$293</f>
        <v>8</v>
      </c>
      <c r="B295" s="15">
        <f>B293+1</f>
        <v>1</v>
      </c>
      <c r="C295" s="16" t="s">
        <v>193</v>
      </c>
      <c r="D295" s="17" t="s">
        <v>4</v>
      </c>
      <c r="E295" s="18" t="s">
        <v>192</v>
      </c>
      <c r="F295" s="19"/>
      <c r="G295" s="19"/>
      <c r="H295" s="19">
        <v>200</v>
      </c>
      <c r="I295" s="36"/>
      <c r="J295" s="20">
        <f>9.62*1.1</f>
        <v>10.582000000000001</v>
      </c>
      <c r="K295" s="21">
        <f>H295</f>
        <v>200</v>
      </c>
      <c r="L295" s="22">
        <f>J295*K295</f>
        <v>2116.4</v>
      </c>
    </row>
    <row r="297" spans="1:12" s="23" customFormat="1" ht="24" x14ac:dyDescent="0.25">
      <c r="A297" s="14">
        <f>$D$293</f>
        <v>8</v>
      </c>
      <c r="B297" s="15">
        <f>B295+1</f>
        <v>2</v>
      </c>
      <c r="C297" s="16" t="s">
        <v>193</v>
      </c>
      <c r="D297" s="17" t="s">
        <v>4</v>
      </c>
      <c r="E297" s="18" t="s">
        <v>194</v>
      </c>
      <c r="F297" s="19"/>
      <c r="G297" s="19"/>
      <c r="H297" s="19">
        <v>9</v>
      </c>
      <c r="I297" s="36"/>
      <c r="J297" s="20">
        <f>9.88*1.1</f>
        <v>10.868000000000002</v>
      </c>
      <c r="K297" s="21">
        <f>H297</f>
        <v>9</v>
      </c>
      <c r="L297" s="22">
        <f>J297*K297</f>
        <v>97.812000000000012</v>
      </c>
    </row>
    <row r="299" spans="1:12" s="23" customFormat="1" ht="24" x14ac:dyDescent="0.25">
      <c r="A299" s="14">
        <f>$D$293</f>
        <v>8</v>
      </c>
      <c r="B299" s="15">
        <f>B297+1</f>
        <v>3</v>
      </c>
      <c r="C299" s="16" t="s">
        <v>193</v>
      </c>
      <c r="D299" s="17" t="s">
        <v>4</v>
      </c>
      <c r="E299" s="18" t="s">
        <v>195</v>
      </c>
      <c r="F299" s="19"/>
      <c r="G299" s="19"/>
      <c r="H299" s="19">
        <v>26</v>
      </c>
      <c r="I299" s="36"/>
      <c r="J299" s="20">
        <f>13.05*1.1</f>
        <v>14.355000000000002</v>
      </c>
      <c r="K299" s="21">
        <f>H299</f>
        <v>26</v>
      </c>
      <c r="L299" s="22">
        <f>J299*K299</f>
        <v>373.23000000000008</v>
      </c>
    </row>
    <row r="301" spans="1:12" s="23" customFormat="1" ht="24" x14ac:dyDescent="0.25">
      <c r="A301" s="14">
        <f>$D$293</f>
        <v>8</v>
      </c>
      <c r="B301" s="15">
        <f>B299+1</f>
        <v>4</v>
      </c>
      <c r="C301" s="16" t="s">
        <v>193</v>
      </c>
      <c r="D301" s="17" t="s">
        <v>4</v>
      </c>
      <c r="E301" s="18" t="s">
        <v>196</v>
      </c>
      <c r="F301" s="19"/>
      <c r="G301" s="19"/>
      <c r="H301" s="19">
        <v>13</v>
      </c>
      <c r="I301" s="36"/>
      <c r="J301" s="20">
        <f>19.41*1.1</f>
        <v>21.351000000000003</v>
      </c>
      <c r="K301" s="21">
        <f>H301</f>
        <v>13</v>
      </c>
      <c r="L301" s="22">
        <f>J301*K301</f>
        <v>277.56300000000005</v>
      </c>
    </row>
    <row r="303" spans="1:12" s="23" customFormat="1" ht="12" x14ac:dyDescent="0.25">
      <c r="A303" s="14">
        <f>$D$293</f>
        <v>8</v>
      </c>
      <c r="B303" s="15">
        <f>B301+1</f>
        <v>5</v>
      </c>
      <c r="C303" s="16" t="s">
        <v>193</v>
      </c>
      <c r="D303" s="17" t="s">
        <v>178</v>
      </c>
      <c r="E303" s="18" t="s">
        <v>198</v>
      </c>
      <c r="F303" s="19">
        <v>40</v>
      </c>
      <c r="G303" s="19"/>
      <c r="H303" s="19"/>
      <c r="I303" s="36"/>
      <c r="J303" s="20">
        <f>5.45*1.1</f>
        <v>5.995000000000001</v>
      </c>
      <c r="K303" s="21">
        <f>F303</f>
        <v>40</v>
      </c>
      <c r="L303" s="22">
        <f>J303*K303</f>
        <v>239.80000000000004</v>
      </c>
    </row>
    <row r="305" spans="1:12" s="23" customFormat="1" ht="36" x14ac:dyDescent="0.25">
      <c r="A305" s="14">
        <f>$D$293</f>
        <v>8</v>
      </c>
      <c r="B305" s="15">
        <f>B303+1</f>
        <v>6</v>
      </c>
      <c r="C305" s="16" t="s">
        <v>193</v>
      </c>
      <c r="D305" s="17" t="s">
        <v>178</v>
      </c>
      <c r="E305" s="18" t="s">
        <v>197</v>
      </c>
      <c r="F305" s="19">
        <v>45</v>
      </c>
      <c r="G305" s="19"/>
      <c r="H305" s="19"/>
      <c r="I305" s="36"/>
      <c r="J305" s="20">
        <f>40.07*1.1</f>
        <v>44.077000000000005</v>
      </c>
      <c r="K305" s="21">
        <f>F305</f>
        <v>45</v>
      </c>
      <c r="L305" s="22">
        <f>J305*K305</f>
        <v>1983.4650000000001</v>
      </c>
    </row>
    <row r="307" spans="1:12" s="23" customFormat="1" ht="24" x14ac:dyDescent="0.25">
      <c r="A307" s="14">
        <f>$D$293</f>
        <v>8</v>
      </c>
      <c r="B307" s="15">
        <f>B305+1</f>
        <v>7</v>
      </c>
      <c r="C307" s="16" t="s">
        <v>193</v>
      </c>
      <c r="D307" s="17" t="s">
        <v>4</v>
      </c>
      <c r="E307" s="18" t="s">
        <v>199</v>
      </c>
      <c r="F307" s="19"/>
      <c r="G307" s="19"/>
      <c r="H307" s="19">
        <v>12</v>
      </c>
      <c r="I307" s="36"/>
      <c r="J307" s="20">
        <f>44.04*1.1</f>
        <v>48.444000000000003</v>
      </c>
      <c r="K307" s="21">
        <f>H307</f>
        <v>12</v>
      </c>
      <c r="L307" s="22">
        <f>J307*K307</f>
        <v>581.32799999999997</v>
      </c>
    </row>
    <row r="309" spans="1:12" s="23" customFormat="1" ht="24" x14ac:dyDescent="0.25">
      <c r="A309" s="14">
        <f>$D$293</f>
        <v>8</v>
      </c>
      <c r="B309" s="15">
        <f>B307+1</f>
        <v>8</v>
      </c>
      <c r="C309" s="16" t="s">
        <v>193</v>
      </c>
      <c r="D309" s="17" t="s">
        <v>4</v>
      </c>
      <c r="E309" s="18" t="s">
        <v>200</v>
      </c>
      <c r="F309" s="19"/>
      <c r="G309" s="19"/>
      <c r="H309" s="19">
        <v>13</v>
      </c>
      <c r="I309" s="36"/>
      <c r="J309" s="20">
        <f>22.18*1.1</f>
        <v>24.398000000000003</v>
      </c>
      <c r="K309" s="21">
        <f>H309</f>
        <v>13</v>
      </c>
      <c r="L309" s="22">
        <f>J309*K309</f>
        <v>317.17400000000004</v>
      </c>
    </row>
    <row r="311" spans="1:12" s="23" customFormat="1" ht="12" x14ac:dyDescent="0.25">
      <c r="A311" s="14">
        <f>$D$293</f>
        <v>8</v>
      </c>
      <c r="B311" s="15">
        <f>B309+1</f>
        <v>9</v>
      </c>
      <c r="C311" s="16" t="s">
        <v>193</v>
      </c>
      <c r="D311" s="17" t="s">
        <v>4</v>
      </c>
      <c r="E311" s="18" t="s">
        <v>201</v>
      </c>
      <c r="F311" s="19"/>
      <c r="G311" s="19"/>
      <c r="H311" s="19">
        <v>8</v>
      </c>
      <c r="I311" s="36"/>
      <c r="J311" s="20">
        <f>49.13*1.1</f>
        <v>54.043000000000006</v>
      </c>
      <c r="K311" s="21">
        <f>H311</f>
        <v>8</v>
      </c>
      <c r="L311" s="22">
        <f>J311*K311</f>
        <v>432.34400000000005</v>
      </c>
    </row>
    <row r="313" spans="1:12" s="23" customFormat="1" ht="12" x14ac:dyDescent="0.25">
      <c r="A313" s="14">
        <f>$D$293</f>
        <v>8</v>
      </c>
      <c r="B313" s="15">
        <f>B311+1</f>
        <v>10</v>
      </c>
      <c r="C313" s="16" t="s">
        <v>193</v>
      </c>
      <c r="D313" s="17" t="s">
        <v>4</v>
      </c>
      <c r="E313" s="18" t="s">
        <v>202</v>
      </c>
      <c r="F313" s="19"/>
      <c r="G313" s="19"/>
      <c r="H313" s="19">
        <v>11</v>
      </c>
      <c r="I313" s="36"/>
      <c r="J313" s="20">
        <f>24.82*1.1</f>
        <v>27.302000000000003</v>
      </c>
      <c r="K313" s="21">
        <f>H313</f>
        <v>11</v>
      </c>
      <c r="L313" s="22">
        <f>J313*K313</f>
        <v>300.32200000000006</v>
      </c>
    </row>
    <row r="315" spans="1:12" s="23" customFormat="1" ht="24" x14ac:dyDescent="0.25">
      <c r="A315" s="14">
        <f>$D$293</f>
        <v>8</v>
      </c>
      <c r="B315" s="15">
        <f>B313+1</f>
        <v>11</v>
      </c>
      <c r="C315" s="16" t="s">
        <v>193</v>
      </c>
      <c r="D315" s="17" t="s">
        <v>4</v>
      </c>
      <c r="E315" s="18" t="s">
        <v>203</v>
      </c>
      <c r="F315" s="19"/>
      <c r="G315" s="19"/>
      <c r="H315" s="19">
        <v>11</v>
      </c>
      <c r="I315" s="36"/>
      <c r="J315" s="20">
        <f>88.45*1.1</f>
        <v>97.295000000000016</v>
      </c>
      <c r="K315" s="21">
        <f>H315</f>
        <v>11</v>
      </c>
      <c r="L315" s="22">
        <f>J315*K315</f>
        <v>1070.2450000000001</v>
      </c>
    </row>
    <row r="317" spans="1:12" s="11" customFormat="1" ht="12" x14ac:dyDescent="0.2">
      <c r="D317" s="11">
        <v>9</v>
      </c>
      <c r="E317" s="30" t="s">
        <v>46</v>
      </c>
      <c r="F317" s="12"/>
      <c r="G317" s="12"/>
      <c r="H317" s="12"/>
      <c r="I317" s="35"/>
      <c r="L317" s="13">
        <f>SUM(L318:L344)</f>
        <v>2273.07575</v>
      </c>
    </row>
    <row r="319" spans="1:12" s="23" customFormat="1" ht="60" x14ac:dyDescent="0.25">
      <c r="A319" s="14">
        <f>$D$317</f>
        <v>9</v>
      </c>
      <c r="B319" s="15">
        <f>B317+1</f>
        <v>1</v>
      </c>
      <c r="C319" s="16" t="s">
        <v>177</v>
      </c>
      <c r="D319" s="17" t="s">
        <v>178</v>
      </c>
      <c r="E319" s="18" t="s">
        <v>176</v>
      </c>
      <c r="F319" s="19"/>
      <c r="G319" s="19"/>
      <c r="H319" s="19"/>
      <c r="I319" s="36"/>
      <c r="J319" s="20">
        <f>36.56*1.1</f>
        <v>40.216000000000008</v>
      </c>
      <c r="K319" s="21">
        <f>SUM(I320:I326)</f>
        <v>25</v>
      </c>
      <c r="L319" s="22">
        <f>J319*K319</f>
        <v>1005.4000000000002</v>
      </c>
    </row>
    <row r="321" spans="1:12" x14ac:dyDescent="0.25">
      <c r="I321" s="24">
        <v>4</v>
      </c>
    </row>
    <row r="322" spans="1:12" x14ac:dyDescent="0.25">
      <c r="I322" s="24">
        <v>10</v>
      </c>
    </row>
    <row r="323" spans="1:12" x14ac:dyDescent="0.25">
      <c r="I323" s="24">
        <v>3</v>
      </c>
    </row>
    <row r="324" spans="1:12" x14ac:dyDescent="0.25">
      <c r="I324" s="24">
        <v>3</v>
      </c>
    </row>
    <row r="325" spans="1:12" x14ac:dyDescent="0.25">
      <c r="I325" s="24">
        <v>5</v>
      </c>
    </row>
    <row r="327" spans="1:12" s="23" customFormat="1" ht="84" x14ac:dyDescent="0.25">
      <c r="A327" s="14">
        <f>$D$317</f>
        <v>9</v>
      </c>
      <c r="B327" s="15">
        <f>B319+1</f>
        <v>2</v>
      </c>
      <c r="C327" s="16" t="s">
        <v>180</v>
      </c>
      <c r="D327" s="17" t="s">
        <v>4</v>
      </c>
      <c r="E327" s="18" t="s">
        <v>179</v>
      </c>
      <c r="F327" s="19"/>
      <c r="G327" s="19"/>
      <c r="H327" s="19"/>
      <c r="I327" s="36"/>
      <c r="J327" s="20">
        <f>87.32*1.1</f>
        <v>96.052000000000007</v>
      </c>
      <c r="K327" s="21">
        <v>4</v>
      </c>
      <c r="L327" s="22">
        <f>J327*K327</f>
        <v>384.20800000000003</v>
      </c>
    </row>
    <row r="328" spans="1:12" ht="14.25" customHeight="1" x14ac:dyDescent="0.25"/>
    <row r="329" spans="1:12" s="23" customFormat="1" ht="60" x14ac:dyDescent="0.25">
      <c r="A329" s="14">
        <f>$D$317</f>
        <v>9</v>
      </c>
      <c r="B329" s="15">
        <f>B327+1</f>
        <v>3</v>
      </c>
      <c r="C329" s="16" t="s">
        <v>177</v>
      </c>
      <c r="D329" s="17" t="s">
        <v>178</v>
      </c>
      <c r="E329" s="18" t="s">
        <v>181</v>
      </c>
      <c r="F329" s="19"/>
      <c r="G329" s="19"/>
      <c r="H329" s="19"/>
      <c r="I329" s="36"/>
      <c r="J329" s="20">
        <f>20.43*1.1</f>
        <v>22.473000000000003</v>
      </c>
      <c r="K329" s="21">
        <v>5</v>
      </c>
      <c r="L329" s="22">
        <f>J329*K329</f>
        <v>112.36500000000001</v>
      </c>
    </row>
    <row r="330" spans="1:12" ht="14.25" customHeight="1" x14ac:dyDescent="0.25"/>
    <row r="331" spans="1:12" s="23" customFormat="1" ht="48" x14ac:dyDescent="0.25">
      <c r="A331" s="14">
        <f>$D$317</f>
        <v>9</v>
      </c>
      <c r="B331" s="15">
        <f>B329+1</f>
        <v>4</v>
      </c>
      <c r="C331" s="16" t="s">
        <v>183</v>
      </c>
      <c r="D331" s="17" t="s">
        <v>4</v>
      </c>
      <c r="E331" s="18" t="s">
        <v>182</v>
      </c>
      <c r="F331" s="19"/>
      <c r="G331" s="19"/>
      <c r="H331" s="19"/>
      <c r="I331" s="36"/>
      <c r="J331" s="20">
        <f>95.15*1.1</f>
        <v>104.66500000000002</v>
      </c>
      <c r="K331" s="21">
        <v>1</v>
      </c>
      <c r="L331" s="22">
        <f>J331*K331</f>
        <v>104.66500000000002</v>
      </c>
    </row>
    <row r="332" spans="1:12" ht="14.25" customHeight="1" x14ac:dyDescent="0.25"/>
    <row r="333" spans="1:12" s="23" customFormat="1" ht="156" x14ac:dyDescent="0.25">
      <c r="A333" s="14">
        <f>$D$317</f>
        <v>9</v>
      </c>
      <c r="B333" s="15">
        <f>B331+1</f>
        <v>5</v>
      </c>
      <c r="C333" s="16" t="s">
        <v>185</v>
      </c>
      <c r="D333" s="17" t="s">
        <v>4</v>
      </c>
      <c r="E333" s="18" t="s">
        <v>184</v>
      </c>
      <c r="F333" s="19"/>
      <c r="G333" s="19"/>
      <c r="H333" s="19"/>
      <c r="I333" s="36"/>
      <c r="J333" s="20">
        <f>366.8*1.1</f>
        <v>403.48</v>
      </c>
      <c r="K333" s="21">
        <v>1</v>
      </c>
      <c r="L333" s="22">
        <f>J333*K333</f>
        <v>403.48</v>
      </c>
    </row>
    <row r="334" spans="1:12" ht="14.25" customHeight="1" x14ac:dyDescent="0.25"/>
    <row r="335" spans="1:12" s="23" customFormat="1" ht="96" x14ac:dyDescent="0.25">
      <c r="A335" s="14">
        <f>$D$317</f>
        <v>9</v>
      </c>
      <c r="B335" s="15">
        <f>B333+1</f>
        <v>6</v>
      </c>
      <c r="C335" s="16" t="s">
        <v>186</v>
      </c>
      <c r="D335" s="17" t="s">
        <v>82</v>
      </c>
      <c r="E335" s="18" t="s">
        <v>187</v>
      </c>
      <c r="F335" s="19"/>
      <c r="G335" s="19"/>
      <c r="H335" s="19"/>
      <c r="I335" s="36"/>
      <c r="J335" s="20">
        <f>43.57*1.1</f>
        <v>47.927000000000007</v>
      </c>
      <c r="K335" s="21">
        <v>2</v>
      </c>
      <c r="L335" s="22">
        <f>J335*K335</f>
        <v>95.854000000000013</v>
      </c>
    </row>
    <row r="337" spans="1:12" s="23" customFormat="1" ht="108" x14ac:dyDescent="0.25">
      <c r="A337" s="14">
        <f>$D$317</f>
        <v>9</v>
      </c>
      <c r="B337" s="15">
        <f>B335+1</f>
        <v>7</v>
      </c>
      <c r="C337" s="16" t="s">
        <v>189</v>
      </c>
      <c r="D337" s="17" t="s">
        <v>58</v>
      </c>
      <c r="E337" s="18" t="s">
        <v>188</v>
      </c>
      <c r="F337" s="19"/>
      <c r="G337" s="19"/>
      <c r="H337" s="19"/>
      <c r="I337" s="36"/>
      <c r="J337" s="20">
        <f>23.47*1.1</f>
        <v>25.817</v>
      </c>
      <c r="K337" s="21">
        <f>SUM(I338:I340)</f>
        <v>3.75</v>
      </c>
      <c r="L337" s="22">
        <f>J337*K337</f>
        <v>96.813749999999999</v>
      </c>
    </row>
    <row r="338" spans="1:12" x14ac:dyDescent="0.25">
      <c r="F338" t="s">
        <v>38</v>
      </c>
      <c r="G338" t="s">
        <v>39</v>
      </c>
      <c r="H338" t="s">
        <v>44</v>
      </c>
    </row>
    <row r="339" spans="1:12" x14ac:dyDescent="0.25">
      <c r="F339">
        <v>15</v>
      </c>
      <c r="G339">
        <v>0.5</v>
      </c>
      <c r="H339">
        <v>0.5</v>
      </c>
      <c r="I339" s="24">
        <f>F339*G339*H339</f>
        <v>3.75</v>
      </c>
    </row>
    <row r="341" spans="1:12" s="23" customFormat="1" ht="72" x14ac:dyDescent="0.25">
      <c r="A341" s="14">
        <f>$D$317</f>
        <v>9</v>
      </c>
      <c r="B341" s="15">
        <f>B337+1</f>
        <v>8</v>
      </c>
      <c r="C341" s="16" t="s">
        <v>191</v>
      </c>
      <c r="D341" s="17" t="s">
        <v>28</v>
      </c>
      <c r="E341" s="18" t="s">
        <v>190</v>
      </c>
      <c r="F341" s="19"/>
      <c r="G341" s="19"/>
      <c r="H341" s="19"/>
      <c r="I341" s="36"/>
      <c r="J341" s="20">
        <f>8.52*1.1</f>
        <v>9.3719999999999999</v>
      </c>
      <c r="K341" s="21">
        <f>SUM(I342:I345)</f>
        <v>7.5</v>
      </c>
      <c r="L341" s="22">
        <f>J341*K341</f>
        <v>70.289999999999992</v>
      </c>
    </row>
    <row r="343" spans="1:12" x14ac:dyDescent="0.25">
      <c r="F343" t="s">
        <v>38</v>
      </c>
      <c r="G343" t="s">
        <v>39</v>
      </c>
    </row>
    <row r="344" spans="1:12" x14ac:dyDescent="0.25">
      <c r="F344">
        <v>15</v>
      </c>
      <c r="G344">
        <v>0.5</v>
      </c>
      <c r="I344" s="24">
        <f t="shared" ref="I344" si="26">F344*G344</f>
        <v>7.5</v>
      </c>
    </row>
  </sheetData>
  <mergeCells count="1">
    <mergeCell ref="B1:L1"/>
  </mergeCells>
  <pageMargins left="0.7" right="0.7" top="0.75" bottom="0.75" header="0.3" footer="0.3"/>
  <pageSetup paperSize="9" scale="57" orientation="portrait" horizontalDpi="4294967294" verticalDpi="1200" r:id="rId1"/>
  <headerFooter>
    <oddFooter>&amp;CPàgina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
  <sheetViews>
    <sheetView workbookViewId="0">
      <selection activeCell="K17" sqref="K17"/>
    </sheetView>
  </sheetViews>
  <sheetFormatPr baseColWidth="10" defaultColWidth="9.140625" defaultRowHeight="15" x14ac:dyDescent="0.25"/>
  <cols>
    <col min="1" max="1" width="6.7109375" style="25" customWidth="1"/>
    <col min="2" max="2" width="5.5703125" style="25" customWidth="1"/>
    <col min="3" max="3" width="66" style="25" customWidth="1"/>
    <col min="4" max="16384" width="9.140625" style="25"/>
  </cols>
  <sheetData>
    <row r="2" spans="2:4" s="27" customFormat="1" ht="31.5" customHeight="1" x14ac:dyDescent="0.25">
      <c r="B2" s="65" t="str">
        <f>GENERAL!B1</f>
        <v xml:space="preserve">PROJECTE EXECUTIU D'OBRA I INSTAL·LACIONS DE LA REFORMA DE LA INSTAL·LACIÓ DE PRODUCCIÓ DE FRED I CALOR. </v>
      </c>
      <c r="C2" s="65"/>
      <c r="D2" s="65"/>
    </row>
    <row r="3" spans="2:4" s="26" customFormat="1" x14ac:dyDescent="0.25">
      <c r="B3" s="26" t="str">
        <f>GENERAL!B3</f>
        <v>VALL D'HEBRON - Barcelona Campus Hospitalari</v>
      </c>
    </row>
    <row r="5" spans="2:4" s="28" customFormat="1" x14ac:dyDescent="0.25">
      <c r="B5" s="28">
        <f>GENERAL!D6</f>
        <v>1</v>
      </c>
      <c r="C5" s="28" t="str">
        <f>GENERAL!E6</f>
        <v>ENDERROCS i TREBALLS PREVIS.</v>
      </c>
      <c r="D5" s="29">
        <f>GENERAL!L6</f>
        <v>14234.5</v>
      </c>
    </row>
    <row r="6" spans="2:4" s="28" customFormat="1" x14ac:dyDescent="0.25">
      <c r="B6" s="28">
        <f>GENERAL!D103</f>
        <v>2</v>
      </c>
      <c r="C6" s="28" t="str">
        <f>GENERAL!E103</f>
        <v>ESTRUCTURA</v>
      </c>
      <c r="D6" s="29">
        <f>GENERAL!L103</f>
        <v>221.98000000000002</v>
      </c>
    </row>
    <row r="7" spans="2:4" s="28" customFormat="1" x14ac:dyDescent="0.25">
      <c r="B7" s="28">
        <f>GENERAL!D115</f>
        <v>3</v>
      </c>
      <c r="C7" s="28" t="str">
        <f>GENERAL!E115</f>
        <v>RAM DE PALETA, TANCAMENTS I PARTICIONS</v>
      </c>
      <c r="D7" s="29">
        <f>GENERAL!L115</f>
        <v>11865.53</v>
      </c>
    </row>
    <row r="8" spans="2:4" s="28" customFormat="1" x14ac:dyDescent="0.25">
      <c r="B8" s="28">
        <f>GENERAL!D180</f>
        <v>4</v>
      </c>
      <c r="C8" s="28" t="str">
        <f>GENERAL!E180</f>
        <v>ACABATS INTERIORS PAVIMENTS</v>
      </c>
      <c r="D8" s="29">
        <f>GENERAL!L180</f>
        <v>4769.2348000000011</v>
      </c>
    </row>
    <row r="9" spans="2:4" s="28" customFormat="1" x14ac:dyDescent="0.25">
      <c r="B9" s="28">
        <f>GENERAL!D190</f>
        <v>5</v>
      </c>
      <c r="C9" s="28" t="str">
        <f>GENERAL!E190</f>
        <v>ACABATS REVESTIMENTS</v>
      </c>
      <c r="D9" s="29">
        <f>GENERAL!L190</f>
        <v>5339.18</v>
      </c>
    </row>
    <row r="10" spans="2:4" s="28" customFormat="1" x14ac:dyDescent="0.25">
      <c r="B10" s="28">
        <f>GENERAL!D228</f>
        <v>6</v>
      </c>
      <c r="C10" s="28" t="str">
        <f>GENERAL!E228</f>
        <v>ACABATS INTERIORS SOSTRES</v>
      </c>
      <c r="D10" s="29">
        <f>GENERAL!L228</f>
        <v>7738.483940000001</v>
      </c>
    </row>
    <row r="11" spans="2:4" s="28" customFormat="1" x14ac:dyDescent="0.25">
      <c r="B11" s="28">
        <f>GENERAL!D259</f>
        <v>7</v>
      </c>
      <c r="C11" s="28" t="str">
        <f>GENERAL!E259</f>
        <v>FUSTERIES</v>
      </c>
      <c r="D11" s="29">
        <f>GENERAL!L259</f>
        <v>8482.7099999999991</v>
      </c>
    </row>
    <row r="12" spans="2:4" s="28" customFormat="1" x14ac:dyDescent="0.25">
      <c r="B12" s="28">
        <f>GENERAL!D293</f>
        <v>8</v>
      </c>
      <c r="C12" s="28" t="str">
        <f>GENERAL!E293</f>
        <v>EQUIPAMENT</v>
      </c>
      <c r="D12" s="29">
        <f>GENERAL!L293</f>
        <v>7789.683</v>
      </c>
    </row>
    <row r="13" spans="2:4" s="28" customFormat="1" x14ac:dyDescent="0.25">
      <c r="B13" s="28">
        <f>GENERAL!D317</f>
        <v>9</v>
      </c>
      <c r="C13" s="28" t="str">
        <f>GENERAL!E317</f>
        <v>SANEJAMENT I AJUDES</v>
      </c>
      <c r="D13" s="29">
        <f>GENERAL!L317</f>
        <v>2273.07575</v>
      </c>
    </row>
    <row r="15" spans="2:4" s="28" customFormat="1" x14ac:dyDescent="0.25">
      <c r="C15" s="28" t="s">
        <v>18</v>
      </c>
      <c r="D15" s="29">
        <f>SUM(D5:D14)</f>
        <v>62714.377489999999</v>
      </c>
    </row>
  </sheetData>
  <mergeCells count="1">
    <mergeCell ref="B2:D2"/>
  </mergeCells>
  <pageMargins left="0.7" right="0.7" top="0.75" bottom="0.75" header="0.3" footer="0.3"/>
  <pageSetup paperSize="9" scale="95"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GENERAL</vt:lpstr>
      <vt:lpstr>RESUM</vt:lpstr>
      <vt:lpstr>GENERAL!Área_de_impresión</vt:lpstr>
      <vt:lpstr>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Moya Arasil, Anna</cp:lastModifiedBy>
  <cp:lastPrinted>2019-07-30T09:20:32Z</cp:lastPrinted>
  <dcterms:created xsi:type="dcterms:W3CDTF">2019-07-16T08:03:55Z</dcterms:created>
  <dcterms:modified xsi:type="dcterms:W3CDTF">2019-09-23T07:48:06Z</dcterms:modified>
</cp:coreProperties>
</file>